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82323475\Desktop\Processos\2 - GECOMP\42 - 0053.002493.2024-82 - Vigilância-Segurança HRB, HRE e CEMETRON\0053.002493.2024-82 - 5º Reajuste\"/>
    </mc:Choice>
  </mc:AlternateContent>
  <bookViews>
    <workbookView xWindow="0" yWindow="0" windowWidth="16380" windowHeight="8190" tabRatio="762" firstSheet="2" activeTab="2"/>
  </bookViews>
  <sheets>
    <sheet name="Plan2" sheetId="1" state="hidden" r:id="rId1"/>
    <sheet name="Plan3" sheetId="2" state="hidden" r:id="rId2"/>
    <sheet name="PLANILHA " sheetId="3" r:id="rId3"/>
    <sheet name="Vigilante Armado - Diurno" sheetId="4" r:id="rId4"/>
    <sheet name="Vigilante Armado - Noturno" sheetId="5" r:id="rId5"/>
    <sheet name="Vigilante Desarmado - Diurno" sheetId="6" r:id="rId6"/>
    <sheet name="Vigilante Desarmado - Noturno" sheetId="7" r:id="rId7"/>
    <sheet name="Uniformes " sheetId="8" r:id="rId8"/>
    <sheet name="Insumos" sheetId="9" r:id="rId9"/>
  </sheets>
  <definedNames>
    <definedName name="_xlnm.Print_Area" localSheetId="8">Insumos!$A$1:$H$35</definedName>
    <definedName name="_xlnm.Print_Area" localSheetId="2">'PLANILHA '!$A$1:$H$9</definedName>
    <definedName name="_xlnm.Print_Area" localSheetId="7">'Uniformes '!$A$1:$H$17</definedName>
    <definedName name="_xlnm.Print_Area" localSheetId="3">'Vigilante Armado - Diurno'!$A$1:$E$113</definedName>
    <definedName name="_xlnm.Print_Area" localSheetId="4">'Vigilante Armado - Noturno'!$A$1:$E$113</definedName>
    <definedName name="_xlnm.Print_Area" localSheetId="5">'Vigilante Desarmado - Diurno'!$A$1:$E$113</definedName>
    <definedName name="_xlnm.Print_Area" localSheetId="6">'Vigilante Desarmado - Noturno'!$A$1:$E$113</definedName>
    <definedName name="_xlnm.Print_Titles" localSheetId="2">'PLANILHA '!#REF!</definedName>
    <definedName name="_xlnm.Print_Titles" localSheetId="3">'Vigilante Armado - Diurno'!$1:$1</definedName>
    <definedName name="_xlnm.Print_Titles" localSheetId="4">'Vigilante Armado - Noturno'!$1:$1</definedName>
    <definedName name="_xlnm.Print_Titles" localSheetId="5">'Vigilante Desarmado - Diurno'!$1:$1</definedName>
    <definedName name="_xlnm.Print_Titles" localSheetId="6">'Vigilante Desarmado - Noturno'!$1:$1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2" i="9" l="1"/>
  <c r="G32" i="9" s="1"/>
  <c r="H32" i="9" s="1"/>
  <c r="D31" i="9"/>
  <c r="G31" i="9" s="1"/>
  <c r="H31" i="9" s="1"/>
  <c r="D30" i="9"/>
  <c r="G30" i="9" s="1"/>
  <c r="H30" i="9" s="1"/>
  <c r="D29" i="9"/>
  <c r="G29" i="9" s="1"/>
  <c r="H29" i="9" s="1"/>
  <c r="D28" i="9"/>
  <c r="G28" i="9" s="1"/>
  <c r="H28" i="9" s="1"/>
  <c r="D27" i="9"/>
  <c r="G27" i="9" s="1"/>
  <c r="H27" i="9" s="1"/>
  <c r="D26" i="9"/>
  <c r="G26" i="9" s="1"/>
  <c r="H26" i="9" s="1"/>
  <c r="D25" i="9"/>
  <c r="G25" i="9" s="1"/>
  <c r="H25" i="9" s="1"/>
  <c r="D24" i="9"/>
  <c r="G24" i="9" s="1"/>
  <c r="D18" i="9"/>
  <c r="G18" i="9" s="1"/>
  <c r="H18" i="9" s="1"/>
  <c r="D17" i="9"/>
  <c r="G17" i="9" s="1"/>
  <c r="H17" i="9" s="1"/>
  <c r="D16" i="9"/>
  <c r="G16" i="9" s="1"/>
  <c r="H16" i="9" s="1"/>
  <c r="D15" i="9"/>
  <c r="G15" i="9" s="1"/>
  <c r="H15" i="9" s="1"/>
  <c r="D14" i="9"/>
  <c r="G14" i="9" s="1"/>
  <c r="H14" i="9" s="1"/>
  <c r="D13" i="9"/>
  <c r="G13" i="9" s="1"/>
  <c r="H13" i="9" s="1"/>
  <c r="D12" i="9"/>
  <c r="G12" i="9" s="1"/>
  <c r="H12" i="9" s="1"/>
  <c r="D11" i="9"/>
  <c r="G11" i="9" s="1"/>
  <c r="H11" i="9" s="1"/>
  <c r="D10" i="9"/>
  <c r="G10" i="9" s="1"/>
  <c r="H10" i="9" s="1"/>
  <c r="D9" i="9"/>
  <c r="G9" i="9" s="1"/>
  <c r="H9" i="9" s="1"/>
  <c r="G8" i="9"/>
  <c r="H8" i="9" s="1"/>
  <c r="H7" i="9"/>
  <c r="G7" i="9"/>
  <c r="D7" i="9"/>
  <c r="D6" i="9"/>
  <c r="G6" i="9" s="1"/>
  <c r="H6" i="9" s="1"/>
  <c r="D5" i="9"/>
  <c r="G5" i="9" s="1"/>
  <c r="H14" i="8"/>
  <c r="G14" i="8"/>
  <c r="D14" i="8"/>
  <c r="D13" i="8"/>
  <c r="G13" i="8" s="1"/>
  <c r="H13" i="8" s="1"/>
  <c r="D12" i="8"/>
  <c r="G12" i="8" s="1"/>
  <c r="H12" i="8" s="1"/>
  <c r="D11" i="8"/>
  <c r="G11" i="8" s="1"/>
  <c r="H11" i="8" s="1"/>
  <c r="H10" i="8"/>
  <c r="G10" i="8"/>
  <c r="D10" i="8"/>
  <c r="H9" i="8"/>
  <c r="G9" i="8"/>
  <c r="D9" i="8"/>
  <c r="D8" i="8"/>
  <c r="G8" i="8" s="1"/>
  <c r="H8" i="8" s="1"/>
  <c r="D7" i="8"/>
  <c r="G7" i="8" s="1"/>
  <c r="H7" i="8" s="1"/>
  <c r="H6" i="8"/>
  <c r="G6" i="8"/>
  <c r="D6" i="8"/>
  <c r="H5" i="8"/>
  <c r="G5" i="8"/>
  <c r="D5" i="8"/>
  <c r="D4" i="8"/>
  <c r="G4" i="8" s="1"/>
  <c r="D97" i="7"/>
  <c r="D96" i="7"/>
  <c r="D101" i="7" s="1"/>
  <c r="D94" i="7" s="1"/>
  <c r="E73" i="7"/>
  <c r="D63" i="7"/>
  <c r="D70" i="7" s="1"/>
  <c r="D78" i="7" s="1"/>
  <c r="D80" i="7" s="1"/>
  <c r="D60" i="7"/>
  <c r="D58" i="7"/>
  <c r="D55" i="7"/>
  <c r="E45" i="7"/>
  <c r="C44" i="7"/>
  <c r="E44" i="7" s="1"/>
  <c r="E43" i="7"/>
  <c r="E42" i="7"/>
  <c r="D39" i="7"/>
  <c r="D74" i="7" s="1"/>
  <c r="D26" i="7"/>
  <c r="D28" i="7" s="1"/>
  <c r="D22" i="7"/>
  <c r="E22" i="7" s="1"/>
  <c r="E21" i="7"/>
  <c r="E20" i="7"/>
  <c r="E18" i="7"/>
  <c r="D97" i="6"/>
  <c r="D96" i="6"/>
  <c r="D101" i="6" s="1"/>
  <c r="D94" i="6" s="1"/>
  <c r="E73" i="6"/>
  <c r="E74" i="6" s="1"/>
  <c r="D63" i="6"/>
  <c r="D70" i="6" s="1"/>
  <c r="D78" i="6" s="1"/>
  <c r="D80" i="6" s="1"/>
  <c r="D55" i="6"/>
  <c r="E45" i="6"/>
  <c r="E44" i="6"/>
  <c r="C44" i="6"/>
  <c r="E43" i="6"/>
  <c r="E42" i="6"/>
  <c r="D39" i="6"/>
  <c r="D74" i="6" s="1"/>
  <c r="D75" i="6" s="1"/>
  <c r="D26" i="6"/>
  <c r="D28" i="6" s="1"/>
  <c r="E19" i="6"/>
  <c r="E18" i="6"/>
  <c r="E21" i="6" s="1"/>
  <c r="D97" i="5"/>
  <c r="D96" i="5"/>
  <c r="D101" i="5" s="1"/>
  <c r="D94" i="5" s="1"/>
  <c r="E73" i="5"/>
  <c r="E74" i="5" s="1"/>
  <c r="E75" i="5" s="1"/>
  <c r="E79" i="5" s="1"/>
  <c r="D70" i="5"/>
  <c r="D78" i="5" s="1"/>
  <c r="D80" i="5" s="1"/>
  <c r="D63" i="5"/>
  <c r="D55" i="5"/>
  <c r="E45" i="5"/>
  <c r="E44" i="5"/>
  <c r="C44" i="5"/>
  <c r="E43" i="5"/>
  <c r="E42" i="5"/>
  <c r="D39" i="5"/>
  <c r="D74" i="5" s="1"/>
  <c r="D75" i="5" s="1"/>
  <c r="D28" i="5"/>
  <c r="D26" i="5"/>
  <c r="E20" i="5"/>
  <c r="E18" i="5"/>
  <c r="D22" i="5" s="1"/>
  <c r="E22" i="5" s="1"/>
  <c r="D97" i="4"/>
  <c r="D96" i="4"/>
  <c r="D101" i="4" s="1"/>
  <c r="D94" i="4" s="1"/>
  <c r="E73" i="4"/>
  <c r="D63" i="4"/>
  <c r="D70" i="4" s="1"/>
  <c r="D78" i="4" s="1"/>
  <c r="D80" i="4" s="1"/>
  <c r="D55" i="4"/>
  <c r="E45" i="4"/>
  <c r="C44" i="4"/>
  <c r="E44" i="4" s="1"/>
  <c r="E43" i="4"/>
  <c r="E42" i="4"/>
  <c r="D39" i="4"/>
  <c r="D74" i="4" s="1"/>
  <c r="D28" i="4"/>
  <c r="D26" i="4"/>
  <c r="E19" i="4"/>
  <c r="E18" i="4"/>
  <c r="D13" i="1"/>
  <c r="D12" i="1"/>
  <c r="D11" i="1"/>
  <c r="D10" i="1"/>
  <c r="D9" i="1"/>
  <c r="D8" i="1"/>
  <c r="G33" i="9" l="1"/>
  <c r="H24" i="9"/>
  <c r="H33" i="9" s="1"/>
  <c r="H34" i="9" s="1"/>
  <c r="E74" i="7"/>
  <c r="D75" i="7"/>
  <c r="D75" i="4"/>
  <c r="E74" i="4"/>
  <c r="E75" i="4" s="1"/>
  <c r="E79" i="4" s="1"/>
  <c r="E47" i="6"/>
  <c r="E51" i="6" s="1"/>
  <c r="E46" i="7"/>
  <c r="E47" i="7" s="1"/>
  <c r="E51" i="7" s="1"/>
  <c r="G15" i="8"/>
  <c r="H4" i="8"/>
  <c r="H15" i="8" s="1"/>
  <c r="H16" i="8" s="1"/>
  <c r="D22" i="6"/>
  <c r="E22" i="6" s="1"/>
  <c r="E23" i="6"/>
  <c r="E23" i="7"/>
  <c r="E75" i="7"/>
  <c r="E79" i="7" s="1"/>
  <c r="G19" i="9"/>
  <c r="H5" i="9"/>
  <c r="H19" i="9" s="1"/>
  <c r="H20" i="9" s="1"/>
  <c r="E46" i="5"/>
  <c r="E47" i="5" s="1"/>
  <c r="E51" i="5" s="1"/>
  <c r="E75" i="6"/>
  <c r="E79" i="6" s="1"/>
  <c r="E21" i="5"/>
  <c r="E23" i="5" s="1"/>
  <c r="D58" i="5"/>
  <c r="D60" i="5" s="1"/>
  <c r="E21" i="4"/>
  <c r="D58" i="4"/>
  <c r="D60" i="4" s="1"/>
  <c r="E46" i="6"/>
  <c r="D58" i="6"/>
  <c r="D60" i="6" s="1"/>
  <c r="C26" i="7" l="1"/>
  <c r="E26" i="7" s="1"/>
  <c r="E104" i="7"/>
  <c r="C27" i="7"/>
  <c r="E27" i="7" s="1"/>
  <c r="E23" i="4"/>
  <c r="D22" i="4"/>
  <c r="E22" i="4" s="1"/>
  <c r="E46" i="4" s="1"/>
  <c r="E47" i="4" s="1"/>
  <c r="E51" i="4" s="1"/>
  <c r="E85" i="6"/>
  <c r="E85" i="7"/>
  <c r="E104" i="5"/>
  <c r="C27" i="5"/>
  <c r="E27" i="5" s="1"/>
  <c r="C26" i="5"/>
  <c r="E26" i="5" s="1"/>
  <c r="E84" i="6"/>
  <c r="E84" i="4"/>
  <c r="E88" i="4" s="1"/>
  <c r="E84" i="7"/>
  <c r="E88" i="7" s="1"/>
  <c r="E84" i="5"/>
  <c r="E85" i="4"/>
  <c r="E85" i="5"/>
  <c r="C27" i="6"/>
  <c r="E27" i="6" s="1"/>
  <c r="C26" i="6"/>
  <c r="E26" i="6" s="1"/>
  <c r="E104" i="6"/>
  <c r="E88" i="5" l="1"/>
  <c r="E108" i="7"/>
  <c r="E104" i="4"/>
  <c r="C27" i="4"/>
  <c r="E27" i="4" s="1"/>
  <c r="C26" i="4"/>
  <c r="E26" i="4" s="1"/>
  <c r="E108" i="4"/>
  <c r="E28" i="7"/>
  <c r="E88" i="6"/>
  <c r="E28" i="6"/>
  <c r="E28" i="5"/>
  <c r="E49" i="5" l="1"/>
  <c r="C36" i="5"/>
  <c r="E36" i="5" s="1"/>
  <c r="C33" i="5"/>
  <c r="E33" i="5" s="1"/>
  <c r="C59" i="5"/>
  <c r="E59" i="5" s="1"/>
  <c r="C37" i="5"/>
  <c r="E37" i="5" s="1"/>
  <c r="C58" i="5"/>
  <c r="E58" i="5" s="1"/>
  <c r="C38" i="5"/>
  <c r="E38" i="5" s="1"/>
  <c r="C32" i="5"/>
  <c r="E32" i="5" s="1"/>
  <c r="C56" i="5"/>
  <c r="E56" i="5" s="1"/>
  <c r="C34" i="5"/>
  <c r="E34" i="5" s="1"/>
  <c r="C55" i="5"/>
  <c r="E55" i="5" s="1"/>
  <c r="E60" i="5" s="1"/>
  <c r="E106" i="5" s="1"/>
  <c r="C35" i="5"/>
  <c r="E35" i="5" s="1"/>
  <c r="C31" i="5"/>
  <c r="E31" i="5" s="1"/>
  <c r="C57" i="5"/>
  <c r="E57" i="5" s="1"/>
  <c r="E108" i="6"/>
  <c r="E28" i="4"/>
  <c r="E108" i="5"/>
  <c r="E49" i="6"/>
  <c r="C31" i="6"/>
  <c r="E31" i="6" s="1"/>
  <c r="C57" i="6"/>
  <c r="E57" i="6" s="1"/>
  <c r="C33" i="6"/>
  <c r="E33" i="6" s="1"/>
  <c r="C36" i="6"/>
  <c r="E36" i="6" s="1"/>
  <c r="C59" i="6"/>
  <c r="E59" i="6" s="1"/>
  <c r="C35" i="6"/>
  <c r="E35" i="6" s="1"/>
  <c r="C38" i="6"/>
  <c r="E38" i="6" s="1"/>
  <c r="C34" i="6"/>
  <c r="E34" i="6" s="1"/>
  <c r="C55" i="6"/>
  <c r="E55" i="6" s="1"/>
  <c r="C58" i="6"/>
  <c r="E58" i="6" s="1"/>
  <c r="C56" i="6"/>
  <c r="E56" i="6" s="1"/>
  <c r="C37" i="6"/>
  <c r="E37" i="6" s="1"/>
  <c r="C32" i="6"/>
  <c r="E32" i="6" s="1"/>
  <c r="E49" i="7"/>
  <c r="C37" i="7"/>
  <c r="E37" i="7" s="1"/>
  <c r="C31" i="7"/>
  <c r="E31" i="7" s="1"/>
  <c r="C34" i="7"/>
  <c r="E34" i="7" s="1"/>
  <c r="C57" i="7"/>
  <c r="E57" i="7" s="1"/>
  <c r="C32" i="7"/>
  <c r="E32" i="7" s="1"/>
  <c r="C36" i="7"/>
  <c r="E36" i="7" s="1"/>
  <c r="C58" i="7"/>
  <c r="E58" i="7" s="1"/>
  <c r="C33" i="7"/>
  <c r="E33" i="7" s="1"/>
  <c r="C55" i="7"/>
  <c r="E55" i="7" s="1"/>
  <c r="C38" i="7"/>
  <c r="E38" i="7" s="1"/>
  <c r="C35" i="7"/>
  <c r="E35" i="7" s="1"/>
  <c r="C59" i="7"/>
  <c r="E59" i="7" s="1"/>
  <c r="C56" i="7"/>
  <c r="E56" i="7" s="1"/>
  <c r="E39" i="6" l="1"/>
  <c r="E50" i="6" s="1"/>
  <c r="E52" i="6"/>
  <c r="E60" i="7"/>
  <c r="E106" i="7" s="1"/>
  <c r="E49" i="4"/>
  <c r="C55" i="4"/>
  <c r="E55" i="4" s="1"/>
  <c r="C33" i="4"/>
  <c r="E33" i="4" s="1"/>
  <c r="C57" i="4"/>
  <c r="E57" i="4" s="1"/>
  <c r="C34" i="4"/>
  <c r="E34" i="4" s="1"/>
  <c r="C38" i="4"/>
  <c r="E38" i="4" s="1"/>
  <c r="C31" i="4"/>
  <c r="E31" i="4" s="1"/>
  <c r="C36" i="4"/>
  <c r="E36" i="4" s="1"/>
  <c r="C56" i="4"/>
  <c r="E56" i="4" s="1"/>
  <c r="C59" i="4"/>
  <c r="E59" i="4" s="1"/>
  <c r="C35" i="4"/>
  <c r="E35" i="4" s="1"/>
  <c r="C32" i="4"/>
  <c r="E32" i="4" s="1"/>
  <c r="C58" i="4"/>
  <c r="E58" i="4" s="1"/>
  <c r="C37" i="4"/>
  <c r="E37" i="4" s="1"/>
  <c r="E39" i="5"/>
  <c r="E50" i="5" s="1"/>
  <c r="E52" i="5"/>
  <c r="E60" i="6"/>
  <c r="E106" i="6" s="1"/>
  <c r="E39" i="7"/>
  <c r="E50" i="7" s="1"/>
  <c r="E52" i="7" s="1"/>
  <c r="E105" i="7" l="1"/>
  <c r="C63" i="7"/>
  <c r="E63" i="7" s="1"/>
  <c r="C68" i="7"/>
  <c r="E68" i="7" s="1"/>
  <c r="C64" i="7"/>
  <c r="E64" i="7" s="1"/>
  <c r="C66" i="7"/>
  <c r="E66" i="7" s="1"/>
  <c r="C65" i="7"/>
  <c r="E65" i="7" s="1"/>
  <c r="C67" i="7"/>
  <c r="E67" i="7" s="1"/>
  <c r="C69" i="7"/>
  <c r="E69" i="7" s="1"/>
  <c r="E105" i="5"/>
  <c r="C67" i="5"/>
  <c r="E67" i="5" s="1"/>
  <c r="C64" i="5"/>
  <c r="E64" i="5" s="1"/>
  <c r="C66" i="5"/>
  <c r="E66" i="5" s="1"/>
  <c r="C63" i="5"/>
  <c r="E63" i="5" s="1"/>
  <c r="C69" i="5"/>
  <c r="E69" i="5" s="1"/>
  <c r="C68" i="5"/>
  <c r="E68" i="5" s="1"/>
  <c r="C65" i="5"/>
  <c r="E65" i="5" s="1"/>
  <c r="E60" i="4"/>
  <c r="E106" i="4" s="1"/>
  <c r="E105" i="6"/>
  <c r="C64" i="6"/>
  <c r="E64" i="6" s="1"/>
  <c r="C67" i="6"/>
  <c r="E67" i="6" s="1"/>
  <c r="C69" i="6"/>
  <c r="E69" i="6" s="1"/>
  <c r="C65" i="6"/>
  <c r="E65" i="6" s="1"/>
  <c r="C66" i="6"/>
  <c r="E66" i="6" s="1"/>
  <c r="C68" i="6"/>
  <c r="E68" i="6" s="1"/>
  <c r="C63" i="6"/>
  <c r="E63" i="6" s="1"/>
  <c r="E39" i="4"/>
  <c r="E50" i="4" s="1"/>
  <c r="E52" i="4" s="1"/>
  <c r="E105" i="4" l="1"/>
  <c r="C64" i="4"/>
  <c r="E64" i="4" s="1"/>
  <c r="C68" i="4"/>
  <c r="E68" i="4" s="1"/>
  <c r="C67" i="4"/>
  <c r="E67" i="4" s="1"/>
  <c r="C65" i="4"/>
  <c r="E65" i="4" s="1"/>
  <c r="C69" i="4"/>
  <c r="E69" i="4" s="1"/>
  <c r="C66" i="4"/>
  <c r="E66" i="4" s="1"/>
  <c r="C63" i="4"/>
  <c r="E63" i="4" s="1"/>
  <c r="E70" i="4" s="1"/>
  <c r="E70" i="7"/>
  <c r="E70" i="6"/>
  <c r="E70" i="5"/>
  <c r="E78" i="7" l="1"/>
  <c r="E80" i="7" s="1"/>
  <c r="E81" i="7"/>
  <c r="E81" i="6"/>
  <c r="E78" i="6"/>
  <c r="E80" i="6" s="1"/>
  <c r="E81" i="4"/>
  <c r="E78" i="4"/>
  <c r="E80" i="4" s="1"/>
  <c r="E78" i="5"/>
  <c r="E80" i="5" s="1"/>
  <c r="E81" i="5"/>
  <c r="E107" i="5" l="1"/>
  <c r="E109" i="5" s="1"/>
  <c r="E89" i="5"/>
  <c r="E107" i="4"/>
  <c r="E109" i="4" s="1"/>
  <c r="E89" i="4"/>
  <c r="E107" i="7"/>
  <c r="E109" i="7" s="1"/>
  <c r="E89" i="7"/>
  <c r="E107" i="6"/>
  <c r="E109" i="6" s="1"/>
  <c r="E89" i="6"/>
  <c r="C92" i="7" l="1"/>
  <c r="E92" i="7" s="1"/>
  <c r="C93" i="7" s="1"/>
  <c r="E93" i="7" s="1"/>
  <c r="E94" i="7" s="1"/>
  <c r="E95" i="7" s="1"/>
  <c r="C92" i="4"/>
  <c r="E92" i="4" s="1"/>
  <c r="C92" i="5"/>
  <c r="E92" i="5" s="1"/>
  <c r="C93" i="6"/>
  <c r="E93" i="6" s="1"/>
  <c r="E94" i="6" s="1"/>
  <c r="E95" i="6" s="1"/>
  <c r="C92" i="6"/>
  <c r="E92" i="6" s="1"/>
  <c r="C99" i="6" l="1"/>
  <c r="E99" i="6" s="1"/>
  <c r="C98" i="6"/>
  <c r="E98" i="6" s="1"/>
  <c r="C100" i="6"/>
  <c r="E100" i="6" s="1"/>
  <c r="C100" i="7"/>
  <c r="E100" i="7" s="1"/>
  <c r="C99" i="7"/>
  <c r="E99" i="7" s="1"/>
  <c r="C98" i="7"/>
  <c r="E98" i="7" s="1"/>
  <c r="E101" i="7" s="1"/>
  <c r="E102" i="7" s="1"/>
  <c r="E110" i="7" s="1"/>
  <c r="E111" i="7" s="1"/>
  <c r="E113" i="7" s="1"/>
  <c r="F8" i="3" s="1"/>
  <c r="G8" i="3" s="1"/>
  <c r="H8" i="3" s="1"/>
  <c r="C93" i="5"/>
  <c r="E93" i="5" s="1"/>
  <c r="C93" i="4"/>
  <c r="E93" i="4" s="1"/>
  <c r="E94" i="5" l="1"/>
  <c r="E95" i="5" s="1"/>
  <c r="E94" i="4"/>
  <c r="E95" i="4" s="1"/>
  <c r="E101" i="6"/>
  <c r="E102" i="6" s="1"/>
  <c r="E110" i="6" s="1"/>
  <c r="E111" i="6" s="1"/>
  <c r="E113" i="6" s="1"/>
  <c r="F7" i="3" s="1"/>
  <c r="G7" i="3" s="1"/>
  <c r="H7" i="3" s="1"/>
  <c r="C100" i="4" l="1"/>
  <c r="E100" i="4" s="1"/>
  <c r="C98" i="4"/>
  <c r="E98" i="4" s="1"/>
  <c r="E101" i="4" s="1"/>
  <c r="E102" i="4" s="1"/>
  <c r="E110" i="4" s="1"/>
  <c r="E111" i="4" s="1"/>
  <c r="E113" i="4" s="1"/>
  <c r="F5" i="3" s="1"/>
  <c r="G5" i="3" s="1"/>
  <c r="C99" i="4"/>
  <c r="E99" i="4" s="1"/>
  <c r="C100" i="5"/>
  <c r="E100" i="5" s="1"/>
  <c r="C99" i="5"/>
  <c r="E99" i="5" s="1"/>
  <c r="C98" i="5"/>
  <c r="E98" i="5" s="1"/>
  <c r="E101" i="5" s="1"/>
  <c r="E102" i="5" s="1"/>
  <c r="E110" i="5" s="1"/>
  <c r="E111" i="5" s="1"/>
  <c r="E113" i="5" s="1"/>
  <c r="F6" i="3" s="1"/>
  <c r="G6" i="3" s="1"/>
  <c r="H6" i="3" s="1"/>
  <c r="H5" i="3" l="1"/>
  <c r="H9" i="3" s="1"/>
  <c r="G9" i="3"/>
</calcChain>
</file>

<file path=xl/sharedStrings.xml><?xml version="1.0" encoding="utf-8"?>
<sst xmlns="http://schemas.openxmlformats.org/spreadsheetml/2006/main" count="1017" uniqueCount="277">
  <si>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</si>
  <si>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</si>
  <si>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</si>
  <si>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</si>
  <si>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rPr>
        <sz val="8"/>
        <color rgb="FF000000"/>
        <rFont val="Verdana"/>
        <family val="2"/>
        <charset val="1"/>
      </rPr>
      <t>ASSIM SENDO, COM A NOVA PREVISÃO LEGAL</t>
    </r>
    <r>
      <rPr>
        <b/>
        <sz val="8"/>
        <color rgb="FFFF0000"/>
        <rFont val="Verdana"/>
        <family val="2"/>
        <charset val="1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  <charset val="1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</si>
  <si>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</si>
  <si>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</si>
  <si>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</si>
  <si>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</si>
  <si>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</si>
  <si>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</si>
  <si>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</si>
  <si>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</si>
  <si>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</si>
  <si>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</si>
  <si>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</si>
  <si>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</si>
  <si>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</si>
  <si>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</si>
  <si>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</si>
  <si>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PRORROGAÇÃO EXECEPCIONAL (§ 4º DO ART. 57 DA LLC)</t>
  </si>
  <si>
    <t>Até 7 anos</t>
  </si>
  <si>
    <t>]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</si>
  <si>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</si>
  <si>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</si>
  <si>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</si>
  <si>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</si>
  <si>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</si>
  <si>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</si>
  <si>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</si>
  <si>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</si>
  <si>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</si>
  <si>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</si>
  <si>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</si>
  <si>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</si>
  <si>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</si>
  <si>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</si>
  <si>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</si>
  <si>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rPr>
        <b/>
        <sz val="14"/>
        <color rgb="FF000000"/>
        <rFont val="Calibri"/>
        <family val="2"/>
        <charset val="1"/>
      </rPr>
      <t>Nota:</t>
    </r>
    <r>
      <rPr>
        <sz val="14"/>
        <color rgb="FF000000"/>
        <rFont val="Calibri"/>
        <family val="2"/>
        <charset val="1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charset val="1"/>
      </rPr>
      <t>entendemos que a falta ao final do aviso ainda seja de 7 (sete) dias</t>
    </r>
    <r>
      <rPr>
        <sz val="14"/>
        <color rgb="FF000000"/>
        <rFont val="Calibri"/>
        <family val="2"/>
        <charset val="1"/>
      </rPr>
      <t>. Já em relação a redução de jornada, </t>
    </r>
    <r>
      <rPr>
        <b/>
        <u/>
        <sz val="14"/>
        <color rgb="FF000000"/>
        <rFont val="Calibri"/>
        <family val="2"/>
        <charset val="1"/>
      </rPr>
      <t>entendemos que deva ser de 2 horas independentemente do número de dias</t>
    </r>
    <r>
      <rPr>
        <sz val="14"/>
        <color rgb="FF000000"/>
        <rFont val="Calibri"/>
        <family val="2"/>
        <charset val="1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</si>
  <si>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</si>
  <si>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</si>
  <si>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</si>
  <si>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</si>
  <si>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</si>
  <si>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</si>
  <si>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</si>
  <si>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</si>
  <si>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</si>
  <si>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</si>
  <si>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</si>
  <si>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</si>
  <si>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</si>
  <si>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</si>
  <si>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</si>
  <si>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</si>
  <si>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</si>
  <si>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</si>
  <si>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</si>
  <si>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</si>
  <si>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</si>
  <si>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</si>
  <si>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</si>
  <si>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</si>
  <si>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</si>
  <si>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</si>
  <si>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</si>
  <si>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</si>
  <si>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</si>
  <si>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</si>
  <si>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</si>
  <si>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</si>
  <si>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</si>
  <si>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</si>
  <si>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</si>
  <si>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</si>
  <si>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</si>
  <si>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</si>
  <si>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PLANILHA DE CUSTO </t>
  </si>
  <si>
    <t>LOTE I – HOSPITAL REGIONAL DE BURITÍS - HRB</t>
  </si>
  <si>
    <t>ITEM</t>
  </si>
  <si>
    <t>ESPECIFICAÇÃO</t>
  </si>
  <si>
    <t xml:space="preserve">UNIDADE </t>
  </si>
  <si>
    <t xml:space="preserve">QUANTIDADE </t>
  </si>
  <si>
    <t>MESES</t>
  </si>
  <si>
    <t>VALOR UNITÁRIO MENSAL DO POSTO</t>
  </si>
  <si>
    <t>VALOR TOTAL MENSAL DOS POSTOS</t>
  </si>
  <si>
    <t>VALOR TOTAL ANUAL DOS POSTOS</t>
  </si>
  <si>
    <t>Serviços de Vigilância/ Segurança Patrimonial Armada</t>
  </si>
  <si>
    <t>Posto Diurno em escala 12x36</t>
  </si>
  <si>
    <t>Posto Noturno em escala 12x36</t>
  </si>
  <si>
    <t>Serviços de Vigilância/ Segurança Patrimonial Desarmada</t>
  </si>
  <si>
    <t xml:space="preserve"> </t>
  </si>
  <si>
    <t>A</t>
  </si>
  <si>
    <t>Data de apresentação da proposta (mês/ano)</t>
  </si>
  <si>
    <t>B</t>
  </si>
  <si>
    <t>SERVIÇO DE VIGILÂNCIA</t>
  </si>
  <si>
    <t>C</t>
  </si>
  <si>
    <t>Ano Acordo, Convenção ou Sentença Normativa em Dissídio Coletivo</t>
  </si>
  <si>
    <t xml:space="preserve">RO000076/2025 </t>
  </si>
  <si>
    <r>
      <rPr>
        <sz val="11"/>
        <rFont val="Calibri"/>
        <family val="2"/>
        <charset val="1"/>
      </rPr>
      <t>N</t>
    </r>
    <r>
      <rPr>
        <strike/>
        <sz val="11"/>
        <rFont val="Calibri"/>
        <family val="2"/>
        <charset val="1"/>
      </rPr>
      <t>º</t>
    </r>
    <r>
      <rPr>
        <sz val="11"/>
        <rFont val="Calibri"/>
        <family val="2"/>
        <charset val="1"/>
      </rPr>
      <t xml:space="preserve"> de meses de execução contratual</t>
    </r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</si>
  <si>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</si>
  <si>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</si>
  <si>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</si>
  <si>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</si>
  <si>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</si>
  <si>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Tipo de serviço (mesmo serviço com características distintas)</t>
  </si>
  <si>
    <t>Salário Normativo da Categoria Profissional</t>
  </si>
  <si>
    <t>Categoria profissional (vinculada à execução contratual)</t>
  </si>
  <si>
    <t>Vigilante Armado - Diurno</t>
  </si>
  <si>
    <t>Data base da categoria (dia/mês/ano)</t>
  </si>
  <si>
    <t>MÓDULO 1 : COMPOSIÇÃO DA REMUNERAÇÃO</t>
  </si>
  <si>
    <t>Composição da Remuneração</t>
  </si>
  <si>
    <t>Salário</t>
  </si>
  <si>
    <t>Adicional de Insalubridade</t>
  </si>
  <si>
    <t>Adicional Noturno</t>
  </si>
  <si>
    <t xml:space="preserve">SUBTOTAL </t>
  </si>
  <si>
    <t>D</t>
  </si>
  <si>
    <t>Adicional de Periculosidade</t>
  </si>
  <si>
    <t>TOTAL DO MÓDULO 1</t>
  </si>
  <si>
    <t xml:space="preserve"> MÓDULO 2: BENEFÍCIOS MENSAIS E DIÁRIOS</t>
  </si>
  <si>
    <t>2.1</t>
  </si>
  <si>
    <t>DÉCIMO TERCEIRO SALÁRIO, FÉRIAS E ADICIONAL DE FÉRIAS</t>
  </si>
  <si>
    <t>BASE DE CÁLCULO</t>
  </si>
  <si>
    <t>13 º Salário</t>
  </si>
  <si>
    <t>Férias e Adicional de Férias</t>
  </si>
  <si>
    <t>TOTAL</t>
  </si>
  <si>
    <t xml:space="preserve">Base de cálculo: De acordo com a instrução normativa nº 05/2017 anexo VII nota 3, a base de cálculo neste módulo deverá ser a soma: MÓDULO 1 + SUBMÓDULO 2.1. </t>
  </si>
  <si>
    <t>2.2</t>
  </si>
  <si>
    <t>Encargos previdenciários e FGTS</t>
  </si>
  <si>
    <r>
      <rPr>
        <b/>
        <sz val="11"/>
        <rFont val="Calibri"/>
        <family val="2"/>
        <charset val="1"/>
      </rPr>
      <t>INSS</t>
    </r>
    <r>
      <rPr>
        <sz val="11"/>
        <rFont val="Calibri"/>
        <family val="2"/>
        <charset val="1"/>
      </rPr>
      <t xml:space="preserve"> (20%)</t>
    </r>
  </si>
  <si>
    <r>
      <rPr>
        <b/>
        <sz val="11"/>
        <rFont val="Calibri"/>
        <family val="2"/>
        <charset val="1"/>
      </rPr>
      <t>SALÁRIO EDUCAÇÃO</t>
    </r>
    <r>
      <rPr>
        <sz val="11"/>
        <rFont val="Calibri"/>
        <family val="2"/>
        <charset val="1"/>
      </rPr>
      <t xml:space="preserve"> (2,5%)</t>
    </r>
  </si>
  <si>
    <r>
      <rPr>
        <b/>
        <sz val="11"/>
        <rFont val="Calibri"/>
        <family val="2"/>
        <charset val="1"/>
      </rPr>
      <t>RAT X SAT (Conforme GFIP)</t>
    </r>
    <r>
      <rPr>
        <sz val="11"/>
        <rFont val="Calibri"/>
        <family val="2"/>
        <charset val="1"/>
      </rPr>
      <t xml:space="preserve"> (Riscos Ambientais do Trabalho) (Sat/Inss(médio)) (Riscos: Leve 1,0%, Médio 2,0%, Grave 3,0% - veja Decreto 3048/99 - Anexo V (CNAE de 1% a 3% FAP de 0,5 a 2,0)</t>
    </r>
  </si>
  <si>
    <r>
      <rPr>
        <b/>
        <sz val="11"/>
        <rFont val="Calibri"/>
        <family val="2"/>
        <charset val="1"/>
      </rPr>
      <t>SESI OU SESC</t>
    </r>
    <r>
      <rPr>
        <sz val="11"/>
        <rFont val="Calibri"/>
        <family val="2"/>
        <charset val="1"/>
      </rPr>
      <t xml:space="preserve"> (1,5%)</t>
    </r>
  </si>
  <si>
    <t>E</t>
  </si>
  <si>
    <r>
      <rPr>
        <b/>
        <sz val="11"/>
        <rFont val="Calibri"/>
        <family val="2"/>
        <charset val="1"/>
      </rPr>
      <t>SENAI OU SENAC</t>
    </r>
    <r>
      <rPr>
        <sz val="11"/>
        <rFont val="Calibri"/>
        <family val="2"/>
        <charset val="1"/>
      </rPr>
      <t xml:space="preserve"> (1,0%)</t>
    </r>
  </si>
  <si>
    <t>F</t>
  </si>
  <si>
    <t>SEBRAE</t>
  </si>
  <si>
    <t>G</t>
  </si>
  <si>
    <r>
      <rPr>
        <b/>
        <sz val="11"/>
        <rFont val="Calibri"/>
        <family val="2"/>
        <charset val="1"/>
      </rPr>
      <t xml:space="preserve">INCRA </t>
    </r>
    <r>
      <rPr>
        <sz val="11"/>
        <rFont val="Calibri"/>
        <family val="2"/>
        <charset val="1"/>
      </rPr>
      <t>(0,20% ou  2,7%) - IN nº971, MPS/SRP/2009, Anexo I e II ver código da Tabela</t>
    </r>
  </si>
  <si>
    <t>H</t>
  </si>
  <si>
    <t xml:space="preserve">FGTS (8,0%) </t>
  </si>
  <si>
    <t>Submódulo 2.3 – Beneficios Mensais</t>
  </si>
  <si>
    <t>2.3</t>
  </si>
  <si>
    <t xml:space="preserve">BENEFÍCIOS MENSAIS E DIÁRIOS </t>
  </si>
  <si>
    <t>Transporte</t>
  </si>
  <si>
    <t xml:space="preserve">Auxílio alimentação </t>
  </si>
  <si>
    <t>Cesta Básica - Cláusula 16ª CCT</t>
  </si>
  <si>
    <t xml:space="preserve">Assistência médica/odontológica - Cláusula 8ª Termo Aditivo a CCT
</t>
  </si>
  <si>
    <t>Seguro de Vida</t>
  </si>
  <si>
    <t>TOTAL DE BENEFÍCIOS MENSAIS E DIÁRIOS</t>
  </si>
  <si>
    <t>Quadro resumo dos beneficios</t>
  </si>
  <si>
    <t>13º Salário, Férias e Adicional de Férias</t>
  </si>
  <si>
    <t>GPS, FGTS e outras contribuições</t>
  </si>
  <si>
    <t>Beneficios diários e mensais</t>
  </si>
  <si>
    <t>TOTAL DO MÓDULO 2</t>
  </si>
  <si>
    <t>MÓDULO 3 - PROVISÃO PARA RESCISÃO</t>
  </si>
  <si>
    <t>3.0</t>
  </si>
  <si>
    <t>Provisão para Rescisão</t>
  </si>
  <si>
    <t>Aviso prévio indenizado</t>
  </si>
  <si>
    <t>Incidência do FGTS sobre aviso prévio indenizado (8%)</t>
  </si>
  <si>
    <t>Aviso prévio trabalhado</t>
  </si>
  <si>
    <t>Incidência do submódulo 2.2 sobre aviso prévio trabalhado (36,80% sobre o valor do Aviso Prévio Trabalhado)</t>
  </si>
  <si>
    <t>Multa sobre FGTS e Contribuição Social sobre o Aviso Prévio Indenizado e sobre o Aviso Prévio Trabalhado. (Alterado Conf. Lei nº 13.932/2019)</t>
  </si>
  <si>
    <t>TOTAL DO MÓDULO 3</t>
  </si>
  <si>
    <t>MÓDULO 4 – CUSTO DE REPOSIÇÃO DO PROFISSIONAL AUSENTE</t>
  </si>
  <si>
    <t>4.1</t>
  </si>
  <si>
    <t>Submódulo 4.1 - Ausências Legais</t>
  </si>
  <si>
    <t>Substituto na Cobertura de Férias (1/12 avos)</t>
  </si>
  <si>
    <t>Substituto na Cobertura de Ausências Legais (por doença)</t>
  </si>
  <si>
    <t>Substituto na Cobertura de Licença Maternidade</t>
  </si>
  <si>
    <t>Substituto na Cobertura de Licença Paternidade</t>
  </si>
  <si>
    <t>Substituto na Cobertura de Ausências Legais (faltas legais)</t>
  </si>
  <si>
    <t>Substituto na Cobertura Por Acidente de Trabalho</t>
  </si>
  <si>
    <t>Outros  (Especificar)</t>
  </si>
  <si>
    <t>TOTAL DO SUBMÓDULO 4.1</t>
  </si>
  <si>
    <t>Submódulo 4.2 - Intrajornada</t>
  </si>
  <si>
    <t>Intervalo para Repouso ou Alimentação</t>
  </si>
  <si>
    <t>Incidência dos Encargos Previdênciários sobre Indenização por Intrajornada</t>
  </si>
  <si>
    <t>TOTAL DO SUBMÓDULO 4.2</t>
  </si>
  <si>
    <t xml:space="preserve"> QUADRO-RESUMO DO MÓDULO 4 - CUSTO DE REPOSIÇÃO DO PROFISSIONAL AUSENTE</t>
  </si>
  <si>
    <t>Módulo 4 – Encargos sociais e trabalhistas</t>
  </si>
  <si>
    <t>4.2</t>
  </si>
  <si>
    <t>TOTAL DO MÓDULO 4</t>
  </si>
  <si>
    <t>MÓDULO 5 - INSUMOS DIVERSOS</t>
  </si>
  <si>
    <t>Insumos Diversos</t>
  </si>
  <si>
    <t>Uniformes e EPI's</t>
  </si>
  <si>
    <t>Materiais</t>
  </si>
  <si>
    <t>Equipamentos</t>
  </si>
  <si>
    <t>Saúde e Segurança do Trabalhador (SESMT) - Cláusula 35ª CCT</t>
  </si>
  <si>
    <t>TOTAL DO MÓDULO 5</t>
  </si>
  <si>
    <t>(M-T)      CUSTO TOTAL DA PLANILHA PARA EFEITO DE CÁLCULO DO MÓDULO 5 (M1+M2+M3+M4+M5)</t>
  </si>
  <si>
    <t xml:space="preserve">MÓDULO 6 – CUSTOS INDIRETOS, TRIBUTOS E LUCRO </t>
  </si>
  <si>
    <t>Custos Indiretos, Tributos e Lucro</t>
  </si>
  <si>
    <t>Custos Indiretos</t>
  </si>
  <si>
    <t>Lucro (MT + M5.A)</t>
  </si>
  <si>
    <t>Subtotal  para   efeito  de  cálculo  dos Tributos  (MT + MA + MB) FATURAMENTO [(100-8,65)/100]</t>
  </si>
  <si>
    <t>Tributos</t>
  </si>
  <si>
    <t>C.1</t>
  </si>
  <si>
    <t xml:space="preserve">Tributos federais </t>
  </si>
  <si>
    <t>C.1.1</t>
  </si>
  <si>
    <t xml:space="preserve">PIS </t>
  </si>
  <si>
    <t>C.1.2</t>
  </si>
  <si>
    <t>COFINS</t>
  </si>
  <si>
    <t>C.2</t>
  </si>
  <si>
    <t>Tributos municipais (ISS/ISSQN)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</si>
  <si>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</si>
  <si>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</si>
  <si>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</si>
  <si>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</si>
  <si>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</si>
  <si>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</si>
  <si>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</si>
  <si>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</si>
  <si>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+C+ D+E)</t>
  </si>
  <si>
    <t>Módulo 6 – Custos indiretos, tributos e lucro</t>
  </si>
  <si>
    <t>VALOR TOTAL POR EMPREGADO</t>
  </si>
  <si>
    <t>VALOR TOTAL POR POSTO DIURNO</t>
  </si>
  <si>
    <t xml:space="preserve"> RO000076/2025</t>
  </si>
  <si>
    <t>Vigilante Armado - Noturno</t>
  </si>
  <si>
    <t xml:space="preserve">Férias e Adicional de Férias </t>
  </si>
  <si>
    <t>VALOR TOTAL POR POSTO NOTURNO</t>
  </si>
  <si>
    <t>Vigilante Desarmado - Diurno</t>
  </si>
  <si>
    <t>Incidência do submódulo 2.2 sobre aviso prévio trabalhado (39,80% sobre o valor do Aviso Prévio Trabalhado)</t>
  </si>
  <si>
    <t>RO000076/2025</t>
  </si>
  <si>
    <t>Vigilante Desarmado - Noturno</t>
  </si>
  <si>
    <t>UNIFORMES</t>
  </si>
  <si>
    <t>VIGILANTE ARMADO E DESARMADO</t>
  </si>
  <si>
    <t>Ordem</t>
  </si>
  <si>
    <t>Discriminação</t>
  </si>
  <si>
    <t>Quantidade</t>
  </si>
  <si>
    <t>Quantidade (Anual)</t>
  </si>
  <si>
    <t>Periodicidade</t>
  </si>
  <si>
    <t>Valor Unitário</t>
  </si>
  <si>
    <t>Valor Total (Anual)</t>
  </si>
  <si>
    <t>Valor Total (Mensal)</t>
  </si>
  <si>
    <t>Calça</t>
  </si>
  <si>
    <t>3 por funcionário</t>
  </si>
  <si>
    <t>1 ano</t>
  </si>
  <si>
    <t>Camisa de mangas compridas e curtas</t>
  </si>
  <si>
    <t>Capa de chuva</t>
  </si>
  <si>
    <t>1 por posto</t>
  </si>
  <si>
    <t>Capa para colete balístico</t>
  </si>
  <si>
    <t>1 por funcionário</t>
  </si>
  <si>
    <t>Cinto de Nylon</t>
  </si>
  <si>
    <t>Crachá</t>
  </si>
  <si>
    <t>Distintivo tipo Broche</t>
  </si>
  <si>
    <t>Jaqueta de frio</t>
  </si>
  <si>
    <t>Meias</t>
  </si>
  <si>
    <t xml:space="preserve"> 6 meses</t>
  </si>
  <si>
    <t>Quepe com emblema</t>
  </si>
  <si>
    <t>Sapatos</t>
  </si>
  <si>
    <t>TOTAL MENSAL POR FUNCIONÁRIO</t>
  </si>
  <si>
    <t>MATERIAIS/EQUIPAMENTOS</t>
  </si>
  <si>
    <t>VIGILANTE ARMADO</t>
  </si>
  <si>
    <t>Coldre</t>
  </si>
  <si>
    <t>Cinturão para revólver</t>
  </si>
  <si>
    <t>Fiel Retrátil para Cinto</t>
  </si>
  <si>
    <t>Munição calibre 38</t>
  </si>
  <si>
    <t xml:space="preserve">Capacidade total da arma </t>
  </si>
  <si>
    <t>Revólver calibre 38</t>
  </si>
  <si>
    <t>Apito</t>
  </si>
  <si>
    <t>Arma não letal à base de óleos vegetais, de graduação alimentícia</t>
  </si>
  <si>
    <t>Em conformidade com a validade, uso ou vigência de período do contrato</t>
  </si>
  <si>
    <t>Cassetete</t>
  </si>
  <si>
    <t>Colete à prova de balas</t>
  </si>
  <si>
    <t>Cordão de apito</t>
  </si>
  <si>
    <t>Lanterna recarregável</t>
  </si>
  <si>
    <t>Livro de ocorrências</t>
  </si>
  <si>
    <t>1 livro 100 pag.</t>
  </si>
  <si>
    <t>A cada 4 meses</t>
  </si>
  <si>
    <t>Porta-cassetete</t>
  </si>
  <si>
    <t>Rádio transmissor</t>
  </si>
  <si>
    <t>VIGILANTE DESARMADO</t>
  </si>
  <si>
    <t>2 anos (período do contrato)</t>
  </si>
  <si>
    <t>O item quantificado por posto será considerado com base no posto de 24 horas (diurno e noturno).</t>
  </si>
  <si>
    <t>Reposição em ocorrências ou avarias da munição ou 2 anos (período do contrato)</t>
  </si>
  <si>
    <t>Em conformidade com a validade, uso ou vigência de 2 anos (período do contrato)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</si>
</sst>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&quot;R$ &quot;* #,##0.00_-;&quot;-R$ &quot;* #,##0.00_-;_-&quot;R$ &quot;* \-??_-;_-@_-"/>
    <numFmt numFmtId="165" formatCode="_-* #,##0.00_-;\-* #,##0.00_-;_-* \-??_-;_-@_-"/>
    <numFmt numFmtId="166" formatCode="&quot;R$ &quot;#,##0.00"/>
    <numFmt numFmtId="167" formatCode="0.000%"/>
    <numFmt numFmtId="168" formatCode="dd/mm/yy"/>
    <numFmt numFmtId="169" formatCode="d/m/yyyy"/>
  </numFmts>
  <fonts count="34" x14ac:knownFonts="1">
    <font>
      <sz val="11"/>
      <color theme="1"/>
      <name val="Calibri"/>
      <family val="2"/>
      <charset val="1"/>
    </font>
    <font>
      <sz val="10"/>
      <color rgb="FF000000"/>
      <name val="Times New Roman"/>
      <family val="1"/>
      <charset val="1"/>
    </font>
    <font>
      <sz val="10"/>
      <name val="Arial"/>
      <family val="2"/>
      <charset val="1"/>
    </font>
    <font>
      <b/>
      <sz val="8"/>
      <color rgb="FF000000"/>
      <name val="Verdana"/>
      <family val="2"/>
      <charset val="1"/>
    </font>
    <font>
      <b/>
      <sz val="16"/>
      <color rgb="FF002060"/>
      <name val="Calibri"/>
      <family val="2"/>
      <charset val="1"/>
    </font>
    <font>
      <sz val="14"/>
      <color theme="1"/>
      <name val="Calibri"/>
      <family val="2"/>
      <charset val="1"/>
    </font>
    <font>
      <sz val="8"/>
      <color rgb="FF000000"/>
      <name val="Verdana"/>
      <family val="2"/>
      <charset val="1"/>
    </font>
    <font>
      <b/>
      <sz val="8"/>
      <color rgb="FFFF0000"/>
      <name val="Verdana"/>
      <family val="2"/>
      <charset val="1"/>
    </font>
    <font>
      <sz val="14"/>
      <color rgb="FF000000"/>
      <name val="Times New Roman"/>
      <family val="1"/>
      <charset val="1"/>
    </font>
    <font>
      <sz val="10"/>
      <color rgb="FF000000"/>
      <name val="Verdana"/>
      <family val="2"/>
      <charset val="1"/>
    </font>
    <font>
      <u/>
      <sz val="10"/>
      <color rgb="FF0000FF"/>
      <name val="Arial"/>
      <family val="2"/>
      <charset val="1"/>
    </font>
    <font>
      <b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b/>
      <sz val="14"/>
      <color rgb="FF000000"/>
      <name val="Times New Roman"/>
      <family val="1"/>
      <charset val="1"/>
    </font>
    <font>
      <b/>
      <sz val="11"/>
      <color theme="1"/>
      <name val="Calibri"/>
      <family val="2"/>
      <charset val="1"/>
    </font>
    <font>
      <b/>
      <sz val="14"/>
      <color rgb="FFFF0000"/>
      <name val="Arial"/>
      <family val="2"/>
      <charset val="1"/>
    </font>
    <font>
      <b/>
      <sz val="14"/>
      <color rgb="FF3366FF"/>
      <name val="Trebuchet MS"/>
      <family val="2"/>
      <charset val="1"/>
    </font>
    <font>
      <b/>
      <sz val="14"/>
      <color rgb="FFFF0000"/>
      <name val="Trebuchet MS"/>
      <family val="2"/>
      <charset val="1"/>
    </font>
    <font>
      <sz val="10"/>
      <name val="Times New Roman"/>
      <family val="1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sz val="11"/>
      <name val="Calibri"/>
      <family val="2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strike/>
      <sz val="11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sz val="11"/>
      <color rgb="FF0000FF"/>
      <name val="Calibri"/>
      <family val="2"/>
      <charset val="1"/>
    </font>
    <font>
      <u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9" tint="0.39979247413556324"/>
        <bgColor rgb="FFC5E0B4"/>
      </patternFill>
    </fill>
    <fill>
      <patternFill patternType="solid">
        <fgColor theme="9" tint="0.59978026673177287"/>
        <bgColor rgb="FFA9D18E"/>
      </patternFill>
    </fill>
    <fill>
      <patternFill patternType="solid">
        <fgColor theme="5" tint="0.39979247413556324"/>
        <bgColor rgb="FFFF99CC"/>
      </patternFill>
    </fill>
    <fill>
      <patternFill patternType="solid">
        <fgColor theme="0" tint="-0.249977111117893"/>
        <bgColor rgb="FFAFABAB"/>
      </patternFill>
    </fill>
    <fill>
      <patternFill patternType="solid">
        <fgColor theme="2" tint="-0.249977111117893"/>
        <bgColor rgb="FFBFBFBF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4">
    <xf numFmtId="0" fontId="0" fillId="0" borderId="0"/>
    <xf numFmtId="165" fontId="31" fillId="0" borderId="0" applyBorder="0" applyProtection="0"/>
    <xf numFmtId="164" fontId="31" fillId="0" borderId="0" applyBorder="0" applyProtection="0"/>
    <xf numFmtId="9" fontId="31" fillId="0" borderId="0" applyBorder="0" applyProtection="0"/>
    <xf numFmtId="0" fontId="10" fillId="0" borderId="0" applyBorder="0" applyProtection="0"/>
    <xf numFmtId="164" fontId="31" fillId="0" borderId="0" applyBorder="0" applyProtection="0"/>
    <xf numFmtId="0" fontId="3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5" fontId="31" fillId="0" borderId="0" applyBorder="0" applyProtection="0"/>
  </cellStyleXfs>
  <cellXfs count="247">
    <xf numFmtId="0" fontId="0" fillId="0" borderId="0" xfId="0"/>
    <xf numFmtId="0" fontId="0" fillId="0" borderId="0" xfId="0" applyAlignment="1" applyProtection="1"/>
    <xf numFmtId="0" fontId="3" fillId="2" borderId="1" xfId="0" applyFont="1" applyFill="1" applyBorder="1" applyAlignment="1" applyProtection="1">
      <alignment wrapText="1"/>
    </xf>
    <xf numFmtId="0" fontId="3" fillId="2" borderId="2" xfId="0" applyFont="1" applyFill="1" applyBorder="1" applyAlignment="1" applyProtection="1">
      <alignment horizontal="center" wrapText="1"/>
    </xf>
    <xf numFmtId="0" fontId="6" fillId="2" borderId="2" xfId="0" applyFont="1" applyFill="1" applyBorder="1" applyAlignment="1" applyProtection="1">
      <alignment horizontal="justify" wrapText="1"/>
    </xf>
    <xf numFmtId="0" fontId="8" fillId="0" borderId="0" xfId="0" applyFont="1" applyAlignment="1" applyProtection="1">
      <alignment horizontal="justify"/>
    </xf>
    <xf numFmtId="0" fontId="9" fillId="2" borderId="2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 wrapText="1"/>
    </xf>
    <xf numFmtId="0" fontId="0" fillId="0" borderId="1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1" xfId="0" applyFont="1" applyBorder="1" applyAlignment="1" applyProtection="1"/>
    <xf numFmtId="0" fontId="6" fillId="2" borderId="4" xfId="0" applyFont="1" applyFill="1" applyBorder="1" applyAlignment="1" applyProtection="1">
      <alignment horizontal="center" wrapText="1"/>
    </xf>
    <xf numFmtId="0" fontId="0" fillId="0" borderId="2" xfId="0" applyFont="1" applyBorder="1" applyAlignment="1" applyProtection="1"/>
    <xf numFmtId="0" fontId="0" fillId="0" borderId="2" xfId="0" applyBorder="1" applyAlignment="1" applyProtection="1">
      <alignment horizontal="center"/>
    </xf>
    <xf numFmtId="0" fontId="0" fillId="3" borderId="2" xfId="0" applyFont="1" applyFill="1" applyBorder="1" applyAlignment="1" applyProtection="1"/>
    <xf numFmtId="0" fontId="0" fillId="3" borderId="2" xfId="0" applyFill="1" applyBorder="1" applyAlignment="1" applyProtection="1">
      <alignment horizontal="center"/>
    </xf>
    <xf numFmtId="0" fontId="0" fillId="0" borderId="4" xfId="0" applyFont="1" applyBorder="1" applyAlignment="1" applyProtection="1"/>
    <xf numFmtId="0" fontId="10" fillId="0" borderId="0" xfId="4" applyFont="1" applyBorder="1" applyAlignment="1" applyProtection="1"/>
    <xf numFmtId="0" fontId="14" fillId="0" borderId="0" xfId="0" applyFont="1" applyAlignment="1" applyProtection="1">
      <alignment horizontal="center" wrapText="1"/>
    </xf>
    <xf numFmtId="0" fontId="15" fillId="0" borderId="0" xfId="0" applyFont="1" applyAlignment="1" applyProtection="1"/>
    <xf numFmtId="0" fontId="5" fillId="0" borderId="0" xfId="0" applyFont="1" applyAlignment="1" applyProtection="1">
      <alignment horizontal="justify"/>
    </xf>
    <xf numFmtId="0" fontId="5" fillId="0" borderId="0" xfId="0" applyFont="1" applyAlignment="1" applyProtection="1"/>
    <xf numFmtId="0" fontId="17" fillId="0" borderId="3" xfId="0" applyFont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justify" vertical="center" wrapText="1"/>
    </xf>
    <xf numFmtId="0" fontId="18" fillId="0" borderId="6" xfId="0" applyFont="1" applyBorder="1" applyAlignment="1" applyProtection="1">
      <alignment horizontal="justify" vertical="center" wrapText="1"/>
    </xf>
    <xf numFmtId="0" fontId="18" fillId="0" borderId="7" xfId="0" applyFont="1" applyBorder="1" applyAlignment="1" applyProtection="1">
      <alignment horizontal="justify" vertical="center" wrapText="1"/>
    </xf>
    <xf numFmtId="0" fontId="18" fillId="0" borderId="8" xfId="0" applyFont="1" applyBorder="1" applyAlignment="1" applyProtection="1">
      <alignment horizontal="justify" vertical="center" wrapText="1"/>
    </xf>
    <xf numFmtId="0" fontId="18" fillId="0" borderId="9" xfId="0" applyFont="1" applyBorder="1" applyAlignment="1" applyProtection="1">
      <alignment horizontal="justify" vertical="center" wrapText="1"/>
    </xf>
    <xf numFmtId="0" fontId="18" fillId="0" borderId="10" xfId="0" applyFont="1" applyBorder="1" applyAlignment="1" applyProtection="1">
      <alignment horizontal="justify" vertical="center"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164" fontId="19" fillId="0" borderId="0" xfId="0" applyNumberFormat="1" applyFont="1" applyAlignment="1" applyProtection="1">
      <alignment vertical="center"/>
    </xf>
    <xf numFmtId="0" fontId="15" fillId="5" borderId="11" xfId="0" applyFont="1" applyFill="1" applyBorder="1" applyAlignment="1" applyProtection="1">
      <alignment horizontal="center" vertical="center" wrapText="1"/>
    </xf>
    <xf numFmtId="0" fontId="15" fillId="5" borderId="12" xfId="0" applyFont="1" applyFill="1" applyBorder="1" applyAlignment="1" applyProtection="1">
      <alignment horizontal="center" vertical="center" wrapText="1"/>
    </xf>
    <xf numFmtId="0" fontId="20" fillId="5" borderId="12" xfId="0" applyFont="1" applyFill="1" applyBorder="1" applyAlignment="1" applyProtection="1">
      <alignment horizontal="center" vertical="center" wrapText="1"/>
    </xf>
    <xf numFmtId="0" fontId="20" fillId="5" borderId="13" xfId="0" applyFont="1" applyFill="1" applyBorder="1" applyAlignment="1" applyProtection="1">
      <alignment horizontal="center" vertical="center" wrapText="1"/>
    </xf>
    <xf numFmtId="0" fontId="0" fillId="2" borderId="14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 wrapText="1"/>
    </xf>
    <xf numFmtId="166" fontId="21" fillId="2" borderId="15" xfId="0" applyNumberFormat="1" applyFont="1" applyFill="1" applyBorder="1" applyAlignment="1" applyProtection="1">
      <alignment horizontal="center" vertical="center"/>
    </xf>
    <xf numFmtId="166" fontId="21" fillId="2" borderId="16" xfId="0" applyNumberFormat="1" applyFont="1" applyFill="1" applyBorder="1" applyAlignment="1" applyProtection="1">
      <alignment horizontal="center" vertical="center"/>
    </xf>
    <xf numFmtId="0" fontId="22" fillId="2" borderId="17" xfId="0" applyFont="1" applyFill="1" applyBorder="1" applyAlignment="1" applyProtection="1">
      <alignment horizontal="center" vertical="center" shrinkToFit="1"/>
    </xf>
    <xf numFmtId="0" fontId="21" fillId="2" borderId="18" xfId="0" applyFont="1" applyFill="1" applyBorder="1" applyAlignment="1" applyProtection="1">
      <alignment horizontal="center" vertical="center"/>
    </xf>
    <xf numFmtId="0" fontId="21" fillId="2" borderId="18" xfId="0" applyFont="1" applyFill="1" applyBorder="1" applyAlignment="1" applyProtection="1">
      <alignment horizontal="center" vertical="center" wrapText="1"/>
    </xf>
    <xf numFmtId="0" fontId="22" fillId="2" borderId="18" xfId="0" applyFont="1" applyFill="1" applyBorder="1" applyAlignment="1" applyProtection="1">
      <alignment horizontal="center" vertical="center" shrinkToFit="1"/>
    </xf>
    <xf numFmtId="1" fontId="22" fillId="2" borderId="18" xfId="0" applyNumberFormat="1" applyFont="1" applyFill="1" applyBorder="1" applyAlignment="1" applyProtection="1">
      <alignment horizontal="center" vertical="center" shrinkToFit="1"/>
    </xf>
    <xf numFmtId="166" fontId="22" fillId="2" borderId="18" xfId="12" applyNumberFormat="1" applyFont="1" applyFill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center" vertical="center" shrinkToFit="1"/>
    </xf>
    <xf numFmtId="0" fontId="22" fillId="2" borderId="20" xfId="0" applyFont="1" applyFill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center" vertical="center" wrapText="1"/>
    </xf>
    <xf numFmtId="0" fontId="22" fillId="2" borderId="20" xfId="0" applyFont="1" applyFill="1" applyBorder="1" applyAlignment="1" applyProtection="1">
      <alignment horizontal="center" vertical="center" shrinkToFit="1"/>
    </xf>
    <xf numFmtId="1" fontId="22" fillId="2" borderId="20" xfId="0" applyNumberFormat="1" applyFont="1" applyFill="1" applyBorder="1" applyAlignment="1" applyProtection="1">
      <alignment horizontal="center" vertical="center" shrinkToFit="1"/>
    </xf>
    <xf numFmtId="166" fontId="22" fillId="2" borderId="20" xfId="12" applyNumberFormat="1" applyFont="1" applyFill="1" applyBorder="1" applyAlignment="1" applyProtection="1">
      <alignment horizontal="center" vertical="center"/>
    </xf>
    <xf numFmtId="166" fontId="21" fillId="2" borderId="21" xfId="0" applyNumberFormat="1" applyFont="1" applyFill="1" applyBorder="1" applyAlignment="1" applyProtection="1">
      <alignment horizontal="center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22" xfId="0" applyFont="1" applyFill="1" applyBorder="1" applyAlignment="1" applyProtection="1">
      <alignment horizontal="center" vertical="center"/>
    </xf>
    <xf numFmtId="166" fontId="20" fillId="4" borderId="3" xfId="0" applyNumberFormat="1" applyFont="1" applyFill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Alignment="1" applyProtection="1">
      <alignment horizontal="justify" vertical="center"/>
    </xf>
    <xf numFmtId="167" fontId="25" fillId="0" borderId="0" xfId="3" applyNumberFormat="1" applyFont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1" fillId="2" borderId="17" xfId="0" applyFont="1" applyFill="1" applyBorder="1" applyAlignment="1" applyProtection="1">
      <alignment horizontal="center" vertical="center"/>
    </xf>
    <xf numFmtId="0" fontId="21" fillId="2" borderId="18" xfId="8" applyFont="1" applyFill="1" applyBorder="1" applyAlignment="1" applyProtection="1">
      <alignment horizontal="right" vertical="center" wrapText="1"/>
    </xf>
    <xf numFmtId="0" fontId="20" fillId="2" borderId="17" xfId="6" applyFont="1" applyFill="1" applyBorder="1" applyAlignment="1" applyProtection="1">
      <alignment horizontal="center" vertical="center" wrapText="1"/>
    </xf>
    <xf numFmtId="4" fontId="20" fillId="2" borderId="24" xfId="6" applyNumberFormat="1" applyFont="1" applyFill="1" applyBorder="1" applyAlignment="1" applyProtection="1">
      <alignment horizontal="center" vertical="center" wrapText="1"/>
    </xf>
    <xf numFmtId="0" fontId="21" fillId="2" borderId="18" xfId="9" applyFont="1" applyFill="1" applyBorder="1" applyAlignment="1" applyProtection="1">
      <alignment horizontal="justify" vertical="center" wrapText="1"/>
    </xf>
    <xf numFmtId="0" fontId="21" fillId="2" borderId="18" xfId="0" applyFont="1" applyFill="1" applyBorder="1" applyAlignment="1" applyProtection="1">
      <alignment horizontal="justify" vertical="center"/>
    </xf>
    <xf numFmtId="0" fontId="20" fillId="2" borderId="17" xfId="6" applyFont="1" applyFill="1" applyBorder="1" applyAlignment="1" applyProtection="1">
      <alignment horizontal="center" vertical="center"/>
    </xf>
    <xf numFmtId="166" fontId="20" fillId="2" borderId="24" xfId="6" applyNumberFormat="1" applyFont="1" applyFill="1" applyBorder="1" applyAlignment="1" applyProtection="1">
      <alignment horizontal="center" vertical="center" wrapText="1"/>
    </xf>
    <xf numFmtId="0" fontId="21" fillId="2" borderId="17" xfId="0" applyFont="1" applyFill="1" applyBorder="1" applyAlignment="1" applyProtection="1">
      <alignment horizontal="center" vertical="center" wrapText="1"/>
    </xf>
    <xf numFmtId="0" fontId="21" fillId="2" borderId="18" xfId="0" applyFont="1" applyFill="1" applyBorder="1" applyAlignment="1" applyProtection="1">
      <alignment vertical="center"/>
    </xf>
    <xf numFmtId="0" fontId="21" fillId="2" borderId="29" xfId="0" applyFont="1" applyFill="1" applyBorder="1" applyAlignment="1" applyProtection="1">
      <alignment horizontal="center" vertical="center"/>
    </xf>
    <xf numFmtId="166" fontId="21" fillId="2" borderId="24" xfId="0" applyNumberFormat="1" applyFont="1" applyFill="1" applyBorder="1" applyAlignment="1" applyProtection="1">
      <alignment horizontal="center" vertical="center"/>
    </xf>
    <xf numFmtId="10" fontId="21" fillId="2" borderId="18" xfId="3" applyNumberFormat="1" applyFont="1" applyFill="1" applyBorder="1" applyAlignment="1" applyProtection="1">
      <alignment horizontal="center" vertical="center"/>
    </xf>
    <xf numFmtId="166" fontId="21" fillId="2" borderId="29" xfId="3" applyNumberFormat="1" applyFont="1" applyFill="1" applyBorder="1" applyAlignment="1" applyProtection="1">
      <alignment horizontal="center" vertical="center"/>
    </xf>
    <xf numFmtId="0" fontId="21" fillId="2" borderId="29" xfId="3" applyNumberFormat="1" applyFont="1" applyFill="1" applyBorder="1" applyAlignment="1" applyProtection="1">
      <alignment horizontal="center" vertical="center"/>
    </xf>
    <xf numFmtId="166" fontId="20" fillId="6" borderId="24" xfId="0" applyNumberFormat="1" applyFont="1" applyFill="1" applyBorder="1" applyAlignment="1" applyProtection="1">
      <alignment horizontal="center" vertical="center"/>
    </xf>
    <xf numFmtId="0" fontId="20" fillId="7" borderId="17" xfId="6" applyFont="1" applyFill="1" applyBorder="1" applyAlignment="1" applyProtection="1">
      <alignment horizontal="center" vertical="center" wrapText="1"/>
    </xf>
    <xf numFmtId="0" fontId="20" fillId="7" borderId="18" xfId="6" applyFont="1" applyFill="1" applyBorder="1" applyAlignment="1" applyProtection="1">
      <alignment vertical="center" wrapText="1"/>
    </xf>
    <xf numFmtId="0" fontId="20" fillId="7" borderId="18" xfId="0" applyFont="1" applyFill="1" applyBorder="1" applyAlignment="1" applyProtection="1">
      <alignment horizontal="center" vertical="center" wrapText="1"/>
    </xf>
    <xf numFmtId="0" fontId="20" fillId="7" borderId="29" xfId="0" applyFont="1" applyFill="1" applyBorder="1" applyAlignment="1" applyProtection="1">
      <alignment vertical="center"/>
    </xf>
    <xf numFmtId="166" fontId="20" fillId="7" borderId="24" xfId="6" applyNumberFormat="1" applyFont="1" applyFill="1" applyBorder="1" applyAlignment="1" applyProtection="1">
      <alignment horizontal="center" vertical="center" wrapText="1"/>
    </xf>
    <xf numFmtId="0" fontId="21" fillId="0" borderId="17" xfId="6" applyFont="1" applyBorder="1" applyAlignment="1" applyProtection="1">
      <alignment horizontal="center" vertical="center" wrapText="1"/>
    </xf>
    <xf numFmtId="0" fontId="21" fillId="0" borderId="18" xfId="6" applyFont="1" applyBorder="1" applyAlignment="1" applyProtection="1">
      <alignment vertical="center" wrapText="1"/>
    </xf>
    <xf numFmtId="4" fontId="21" fillId="0" borderId="18" xfId="0" applyNumberFormat="1" applyFont="1" applyBorder="1" applyAlignment="1" applyProtection="1">
      <alignment horizontal="center" vertical="center"/>
    </xf>
    <xf numFmtId="10" fontId="21" fillId="0" borderId="18" xfId="3" applyNumberFormat="1" applyFont="1" applyBorder="1" applyAlignment="1" applyProtection="1">
      <alignment horizontal="center" vertical="center"/>
    </xf>
    <xf numFmtId="166" fontId="21" fillId="0" borderId="24" xfId="0" applyNumberFormat="1" applyFont="1" applyBorder="1" applyAlignment="1" applyProtection="1">
      <alignment horizontal="center" vertical="center"/>
    </xf>
    <xf numFmtId="0" fontId="21" fillId="2" borderId="18" xfId="6" applyFont="1" applyFill="1" applyBorder="1" applyAlignment="1" applyProtection="1">
      <alignment horizontal="left" vertical="center" wrapText="1"/>
    </xf>
    <xf numFmtId="10" fontId="20" fillId="5" borderId="18" xfId="0" applyNumberFormat="1" applyFont="1" applyFill="1" applyBorder="1" applyAlignment="1" applyProtection="1">
      <alignment horizontal="center" vertical="center"/>
    </xf>
    <xf numFmtId="166" fontId="20" fillId="5" borderId="24" xfId="0" applyNumberFormat="1" applyFont="1" applyFill="1" applyBorder="1" applyAlignment="1" applyProtection="1">
      <alignment horizontal="center" vertical="center"/>
    </xf>
    <xf numFmtId="0" fontId="20" fillId="0" borderId="17" xfId="6" applyFont="1" applyBorder="1" applyAlignment="1" applyProtection="1">
      <alignment horizontal="center" vertical="center" wrapText="1"/>
    </xf>
    <xf numFmtId="0" fontId="20" fillId="0" borderId="30" xfId="6" applyFont="1" applyBorder="1" applyAlignment="1" applyProtection="1">
      <alignment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1" fillId="0" borderId="29" xfId="0" applyFont="1" applyBorder="1" applyAlignment="1" applyProtection="1">
      <alignment vertical="center"/>
    </xf>
    <xf numFmtId="166" fontId="20" fillId="0" borderId="24" xfId="6" applyNumberFormat="1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left" vertical="center"/>
    </xf>
    <xf numFmtId="10" fontId="0" fillId="0" borderId="18" xfId="0" applyNumberFormat="1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left" vertical="center" wrapText="1"/>
    </xf>
    <xf numFmtId="0" fontId="28" fillId="0" borderId="18" xfId="4" applyFont="1" applyBorder="1" applyAlignment="1" applyProtection="1">
      <alignment horizontal="left" vertical="center"/>
    </xf>
    <xf numFmtId="10" fontId="20" fillId="5" borderId="18" xfId="3" applyNumberFormat="1" applyFont="1" applyFill="1" applyBorder="1" applyAlignment="1" applyProtection="1">
      <alignment horizontal="center" vertical="center"/>
    </xf>
    <xf numFmtId="0" fontId="15" fillId="7" borderId="17" xfId="6" applyFont="1" applyFill="1" applyBorder="1" applyAlignment="1" applyProtection="1">
      <alignment horizontal="center" vertical="center"/>
    </xf>
    <xf numFmtId="0" fontId="15" fillId="7" borderId="18" xfId="6" applyFont="1" applyFill="1" applyBorder="1" applyAlignment="1" applyProtection="1">
      <alignment vertical="center" wrapText="1"/>
    </xf>
    <xf numFmtId="0" fontId="21" fillId="0" borderId="17" xfId="6" applyFont="1" applyBorder="1" applyAlignment="1" applyProtection="1">
      <alignment horizontal="center"/>
    </xf>
    <xf numFmtId="0" fontId="21" fillId="0" borderId="18" xfId="6" applyFont="1" applyBorder="1" applyAlignment="1" applyProtection="1">
      <alignment vertical="center"/>
    </xf>
    <xf numFmtId="166" fontId="21" fillId="0" borderId="18" xfId="6" applyNumberFormat="1" applyFont="1" applyBorder="1" applyAlignment="1" applyProtection="1">
      <alignment horizontal="center" vertical="center"/>
    </xf>
    <xf numFmtId="166" fontId="21" fillId="0" borderId="24" xfId="6" applyNumberFormat="1" applyFont="1" applyBorder="1" applyAlignment="1" applyProtection="1">
      <alignment horizontal="center" vertical="center"/>
    </xf>
    <xf numFmtId="166" fontId="21" fillId="0" borderId="18" xfId="0" applyNumberFormat="1" applyFont="1" applyBorder="1" applyAlignment="1" applyProtection="1">
      <alignment horizontal="center" vertical="center"/>
    </xf>
    <xf numFmtId="167" fontId="20" fillId="0" borderId="18" xfId="3" applyNumberFormat="1" applyFont="1" applyBorder="1" applyAlignment="1" applyProtection="1">
      <alignment horizontal="justify" vertical="center"/>
    </xf>
    <xf numFmtId="0" fontId="21" fillId="0" borderId="18" xfId="6" applyFont="1" applyBorder="1" applyAlignment="1" applyProtection="1">
      <alignment vertical="top" wrapText="1"/>
    </xf>
    <xf numFmtId="0" fontId="0" fillId="0" borderId="18" xfId="0" applyFont="1" applyBorder="1" applyAlignment="1" applyProtection="1">
      <alignment horizontal="left" vertical="center"/>
    </xf>
    <xf numFmtId="0" fontId="20" fillId="2" borderId="18" xfId="6" applyFont="1" applyFill="1" applyBorder="1" applyAlignment="1" applyProtection="1">
      <alignment horizontal="center" vertical="center"/>
    </xf>
    <xf numFmtId="166" fontId="20" fillId="2" borderId="24" xfId="0" applyNumberFormat="1" applyFont="1" applyFill="1" applyBorder="1" applyAlignment="1" applyProtection="1">
      <alignment horizontal="center" vertical="center"/>
    </xf>
    <xf numFmtId="0" fontId="20" fillId="0" borderId="18" xfId="6" applyFont="1" applyBorder="1" applyAlignment="1" applyProtection="1">
      <alignment vertical="center" wrapText="1"/>
    </xf>
    <xf numFmtId="0" fontId="20" fillId="0" borderId="18" xfId="6" applyFont="1" applyBorder="1" applyAlignment="1" applyProtection="1">
      <alignment horizontal="center" vertical="center" wrapText="1"/>
    </xf>
    <xf numFmtId="0" fontId="21" fillId="0" borderId="29" xfId="0" applyFont="1" applyBorder="1" applyAlignment="1" applyProtection="1">
      <alignment horizontal="center" vertical="center"/>
    </xf>
    <xf numFmtId="0" fontId="21" fillId="2" borderId="17" xfId="6" applyFont="1" applyFill="1" applyBorder="1" applyAlignment="1" applyProtection="1">
      <alignment horizontal="center" vertical="center" wrapText="1"/>
    </xf>
    <xf numFmtId="0" fontId="21" fillId="2" borderId="18" xfId="6" applyFont="1" applyFill="1" applyBorder="1" applyAlignment="1" applyProtection="1">
      <alignment vertical="center" wrapText="1"/>
    </xf>
    <xf numFmtId="0" fontId="21" fillId="0" borderId="18" xfId="0" applyFont="1" applyBorder="1" applyAlignment="1" applyProtection="1">
      <alignment vertical="center" wrapText="1"/>
    </xf>
    <xf numFmtId="10" fontId="20" fillId="6" borderId="18" xfId="6" applyNumberFormat="1" applyFont="1" applyFill="1" applyBorder="1" applyAlignment="1" applyProtection="1">
      <alignment horizontal="center" vertical="center"/>
    </xf>
    <xf numFmtId="166" fontId="20" fillId="6" borderId="32" xfId="0" applyNumberFormat="1" applyFont="1" applyFill="1" applyBorder="1" applyAlignment="1" applyProtection="1">
      <alignment horizontal="center" vertical="center"/>
    </xf>
    <xf numFmtId="0" fontId="20" fillId="0" borderId="30" xfId="6" applyFont="1" applyBorder="1" applyAlignment="1" applyProtection="1">
      <alignment vertical="center"/>
    </xf>
    <xf numFmtId="0" fontId="20" fillId="0" borderId="29" xfId="6" applyFont="1" applyBorder="1" applyAlignment="1" applyProtection="1">
      <alignment horizontal="center" vertical="center"/>
    </xf>
    <xf numFmtId="4" fontId="21" fillId="2" borderId="18" xfId="6" applyNumberFormat="1" applyFont="1" applyFill="1" applyBorder="1" applyAlignment="1" applyProtection="1">
      <alignment horizontal="center" vertical="center"/>
    </xf>
    <xf numFmtId="0" fontId="21" fillId="0" borderId="18" xfId="6" applyFont="1" applyBorder="1" applyAlignment="1" applyProtection="1">
      <alignment horizontal="left" vertical="center" wrapText="1"/>
    </xf>
    <xf numFmtId="10" fontId="20" fillId="5" borderId="18" xfId="6" applyNumberFormat="1" applyFont="1" applyFill="1" applyBorder="1" applyAlignment="1" applyProtection="1">
      <alignment horizontal="center" vertical="center"/>
    </xf>
    <xf numFmtId="0" fontId="21" fillId="2" borderId="30" xfId="6" applyFont="1" applyFill="1" applyBorder="1" applyAlignment="1" applyProtection="1">
      <alignment vertical="center" wrapText="1"/>
    </xf>
    <xf numFmtId="0" fontId="20" fillId="2" borderId="18" xfId="6" applyFont="1" applyFill="1" applyBorder="1" applyAlignment="1" applyProtection="1">
      <alignment vertical="center" wrapText="1"/>
    </xf>
    <xf numFmtId="0" fontId="20" fillId="0" borderId="18" xfId="0" applyFont="1" applyBorder="1" applyAlignment="1" applyProtection="1">
      <alignment vertical="center"/>
    </xf>
    <xf numFmtId="166" fontId="20" fillId="6" borderId="33" xfId="0" applyNumberFormat="1" applyFont="1" applyFill="1" applyBorder="1" applyAlignment="1" applyProtection="1">
      <alignment horizontal="center" vertical="center"/>
    </xf>
    <xf numFmtId="0" fontId="29" fillId="0" borderId="18" xfId="4" applyFont="1" applyBorder="1" applyAlignment="1" applyProtection="1">
      <alignment horizontal="justify" vertical="center"/>
    </xf>
    <xf numFmtId="167" fontId="20" fillId="0" borderId="18" xfId="3" applyNumberFormat="1" applyFont="1" applyBorder="1" applyAlignment="1" applyProtection="1">
      <alignment vertical="center"/>
    </xf>
    <xf numFmtId="166" fontId="20" fillId="7" borderId="24" xfId="0" applyNumberFormat="1" applyFont="1" applyFill="1" applyBorder="1" applyAlignment="1" applyProtection="1">
      <alignment horizontal="center" vertical="center"/>
    </xf>
    <xf numFmtId="4" fontId="21" fillId="0" borderId="18" xfId="3" applyNumberFormat="1" applyFont="1" applyBorder="1" applyAlignment="1" applyProtection="1">
      <alignment horizontal="center" vertical="center"/>
    </xf>
    <xf numFmtId="0" fontId="21" fillId="0" borderId="30" xfId="6" applyFont="1" applyBorder="1" applyAlignment="1" applyProtection="1">
      <alignment vertical="center" wrapText="1"/>
    </xf>
    <xf numFmtId="0" fontId="21" fillId="0" borderId="30" xfId="6" applyFont="1" applyBorder="1" applyAlignment="1" applyProtection="1">
      <alignment horizontal="left" vertical="center"/>
    </xf>
    <xf numFmtId="0" fontId="21" fillId="0" borderId="18" xfId="0" applyFont="1" applyBorder="1" applyAlignment="1" applyProtection="1">
      <alignment vertical="center"/>
    </xf>
    <xf numFmtId="0" fontId="21" fillId="0" borderId="18" xfId="0" applyFont="1" applyBorder="1" applyAlignment="1" applyProtection="1">
      <alignment horizontal="center" vertical="center"/>
    </xf>
    <xf numFmtId="166" fontId="21" fillId="0" borderId="24" xfId="2" applyNumberFormat="1" applyFont="1" applyBorder="1" applyAlignment="1" applyProtection="1">
      <alignment horizontal="center" vertical="center"/>
    </xf>
    <xf numFmtId="10" fontId="21" fillId="0" borderId="18" xfId="0" applyNumberFormat="1" applyFont="1" applyBorder="1" applyAlignment="1" applyProtection="1">
      <alignment horizontal="center" vertical="center"/>
    </xf>
    <xf numFmtId="10" fontId="21" fillId="0" borderId="18" xfId="6" applyNumberFormat="1" applyFont="1" applyBorder="1" applyAlignment="1" applyProtection="1">
      <alignment horizontal="center" vertical="center"/>
    </xf>
    <xf numFmtId="0" fontId="21" fillId="0" borderId="34" xfId="6" applyFont="1" applyBorder="1" applyAlignment="1" applyProtection="1">
      <alignment horizontal="center" vertical="center" wrapText="1"/>
    </xf>
    <xf numFmtId="0" fontId="21" fillId="0" borderId="35" xfId="6" applyFont="1" applyBorder="1" applyAlignment="1" applyProtection="1">
      <alignment vertical="center" wrapText="1"/>
    </xf>
    <xf numFmtId="166" fontId="21" fillId="0" borderId="35" xfId="0" applyNumberFormat="1" applyFont="1" applyBorder="1" applyAlignment="1" applyProtection="1">
      <alignment horizontal="center" vertical="center"/>
    </xf>
    <xf numFmtId="10" fontId="21" fillId="0" borderId="35" xfId="3" applyNumberFormat="1" applyFont="1" applyBorder="1" applyAlignment="1" applyProtection="1">
      <alignment horizontal="center" vertical="center"/>
    </xf>
    <xf numFmtId="166" fontId="21" fillId="0" borderId="36" xfId="0" applyNumberFormat="1" applyFont="1" applyBorder="1" applyAlignment="1" applyProtection="1">
      <alignment horizontal="center" vertical="center"/>
    </xf>
    <xf numFmtId="0" fontId="20" fillId="0" borderId="37" xfId="6" applyFont="1" applyBorder="1" applyAlignment="1" applyProtection="1">
      <alignment horizontal="center" vertical="center"/>
    </xf>
    <xf numFmtId="10" fontId="20" fillId="0" borderId="3" xfId="0" applyNumberFormat="1" applyFont="1" applyBorder="1" applyAlignment="1" applyProtection="1">
      <alignment horizontal="center" vertical="center"/>
    </xf>
    <xf numFmtId="166" fontId="21" fillId="0" borderId="7" xfId="0" applyNumberFormat="1" applyFont="1" applyBorder="1" applyAlignment="1" applyProtection="1">
      <alignment horizontal="center" vertical="center"/>
    </xf>
    <xf numFmtId="166" fontId="20" fillId="5" borderId="16" xfId="0" applyNumberFormat="1" applyFont="1" applyFill="1" applyBorder="1" applyAlignment="1" applyProtection="1">
      <alignment horizontal="center" vertical="center"/>
    </xf>
    <xf numFmtId="166" fontId="20" fillId="3" borderId="24" xfId="6" applyNumberFormat="1" applyFont="1" applyFill="1" applyBorder="1" applyAlignment="1" applyProtection="1">
      <alignment horizontal="center" vertical="center" wrapText="1"/>
    </xf>
    <xf numFmtId="166" fontId="20" fillId="0" borderId="24" xfId="0" applyNumberFormat="1" applyFont="1" applyBorder="1" applyAlignment="1" applyProtection="1">
      <alignment horizontal="center" vertical="center"/>
    </xf>
    <xf numFmtId="166" fontId="20" fillId="5" borderId="39" xfId="0" applyNumberFormat="1" applyFont="1" applyFill="1" applyBorder="1" applyAlignment="1" applyProtection="1">
      <alignment horizontal="center" vertical="center"/>
    </xf>
    <xf numFmtId="166" fontId="20" fillId="5" borderId="3" xfId="0" applyNumberFormat="1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29" xfId="3" applyNumberFormat="1" applyFont="1" applyBorder="1" applyAlignment="1" applyProtection="1">
      <alignment horizontal="center" vertical="center"/>
    </xf>
    <xf numFmtId="166" fontId="21" fillId="2" borderId="18" xfId="0" applyNumberFormat="1" applyFont="1" applyFill="1" applyBorder="1" applyAlignment="1" applyProtection="1">
      <alignment horizontal="center" vertical="center"/>
    </xf>
    <xf numFmtId="167" fontId="20" fillId="2" borderId="18" xfId="3" applyNumberFormat="1" applyFont="1" applyFill="1" applyBorder="1" applyAlignment="1" applyProtection="1">
      <alignment horizontal="justify" vertical="center"/>
    </xf>
    <xf numFmtId="0" fontId="20" fillId="2" borderId="18" xfId="6" applyFont="1" applyFill="1" applyBorder="1" applyAlignment="1" applyProtection="1">
      <alignment horizontal="center" vertical="center" wrapText="1"/>
    </xf>
    <xf numFmtId="4" fontId="21" fillId="2" borderId="18" xfId="0" applyNumberFormat="1" applyFont="1" applyFill="1" applyBorder="1" applyAlignment="1" applyProtection="1">
      <alignment horizontal="center" vertical="center"/>
    </xf>
    <xf numFmtId="0" fontId="21" fillId="2" borderId="18" xfId="0" applyFont="1" applyFill="1" applyBorder="1" applyAlignment="1" applyProtection="1">
      <alignment vertical="center" wrapText="1"/>
    </xf>
    <xf numFmtId="0" fontId="20" fillId="2" borderId="30" xfId="6" applyFont="1" applyFill="1" applyBorder="1" applyAlignment="1" applyProtection="1">
      <alignment vertical="center" wrapText="1"/>
    </xf>
    <xf numFmtId="164" fontId="24" fillId="0" borderId="0" xfId="2" applyFont="1" applyBorder="1" applyAlignment="1" applyProtection="1">
      <alignment horizontal="justify" vertical="center"/>
    </xf>
    <xf numFmtId="0" fontId="20" fillId="5" borderId="18" xfId="0" applyFont="1" applyFill="1" applyBorder="1" applyAlignment="1" applyProtection="1">
      <alignment horizontal="center" vertical="center" wrapText="1"/>
    </xf>
    <xf numFmtId="0" fontId="30" fillId="5" borderId="18" xfId="11" applyFont="1" applyFill="1" applyBorder="1" applyAlignment="1" applyProtection="1">
      <alignment horizontal="center" vertical="center" wrapText="1"/>
    </xf>
    <xf numFmtId="166" fontId="21" fillId="2" borderId="18" xfId="1" applyNumberFormat="1" applyFont="1" applyFill="1" applyBorder="1" applyAlignment="1" applyProtection="1">
      <alignment horizontal="center" vertical="center"/>
    </xf>
    <xf numFmtId="166" fontId="15" fillId="5" borderId="3" xfId="1" applyNumberFormat="1" applyFont="1" applyFill="1" applyBorder="1" applyAlignment="1" applyProtection="1">
      <alignment horizontal="center" vertical="center"/>
    </xf>
    <xf numFmtId="166" fontId="15" fillId="4" borderId="4" xfId="0" applyNumberFormat="1" applyFont="1" applyFill="1" applyBorder="1" applyAlignment="1" applyProtection="1">
      <alignment horizontal="center" vertical="center"/>
    </xf>
    <xf numFmtId="0" fontId="1" fillId="0" borderId="0" xfId="11" applyFont="1" applyAlignment="1" applyProtection="1">
      <alignment horizontal="left" vertical="top"/>
    </xf>
    <xf numFmtId="0" fontId="15" fillId="5" borderId="40" xfId="0" applyFont="1" applyFill="1" applyBorder="1" applyAlignment="1" applyProtection="1">
      <alignment horizontal="center" vertical="center"/>
    </xf>
    <xf numFmtId="0" fontId="20" fillId="5" borderId="41" xfId="0" applyFont="1" applyFill="1" applyBorder="1" applyAlignment="1" applyProtection="1">
      <alignment horizontal="center" vertical="center" wrapText="1"/>
    </xf>
    <xf numFmtId="0" fontId="30" fillId="5" borderId="41" xfId="11" applyFont="1" applyFill="1" applyBorder="1" applyAlignment="1" applyProtection="1">
      <alignment horizontal="center" vertical="center" wrapText="1"/>
    </xf>
    <xf numFmtId="0" fontId="30" fillId="5" borderId="42" xfId="11" applyFont="1" applyFill="1" applyBorder="1" applyAlignment="1" applyProtection="1">
      <alignment horizontal="center" vertical="center" wrapText="1"/>
    </xf>
    <xf numFmtId="0" fontId="22" fillId="2" borderId="18" xfId="0" applyFont="1" applyFill="1" applyBorder="1" applyAlignment="1" applyProtection="1">
      <alignment horizontal="center" vertical="center"/>
    </xf>
    <xf numFmtId="166" fontId="21" fillId="2" borderId="18" xfId="11" applyNumberFormat="1" applyFont="1" applyFill="1" applyBorder="1" applyAlignment="1" applyProtection="1">
      <alignment horizontal="center" vertical="center"/>
    </xf>
    <xf numFmtId="166" fontId="21" fillId="2" borderId="18" xfId="0" applyNumberFormat="1" applyFont="1" applyFill="1" applyBorder="1" applyAlignment="1" applyProtection="1">
      <alignment horizontal="center" vertical="center" shrinkToFit="1"/>
    </xf>
    <xf numFmtId="0" fontId="22" fillId="2" borderId="18" xfId="0" applyFont="1" applyFill="1" applyBorder="1" applyAlignment="1" applyProtection="1">
      <alignment horizontal="center" vertical="center" wrapText="1"/>
    </xf>
    <xf numFmtId="166" fontId="20" fillId="5" borderId="4" xfId="11" applyNumberFormat="1" applyFont="1" applyFill="1" applyBorder="1" applyAlignment="1" applyProtection="1">
      <alignment horizontal="center" vertical="center"/>
    </xf>
    <xf numFmtId="166" fontId="20" fillId="4" borderId="4" xfId="11" applyNumberFormat="1" applyFont="1" applyFill="1" applyBorder="1" applyAlignment="1" applyProtection="1">
      <alignment horizontal="center" vertical="center"/>
    </xf>
    <xf numFmtId="0" fontId="15" fillId="5" borderId="17" xfId="0" applyFont="1" applyFill="1" applyBorder="1" applyAlignment="1" applyProtection="1">
      <alignment horizontal="center" vertical="center"/>
    </xf>
    <xf numFmtId="0" fontId="30" fillId="5" borderId="24" xfId="11" applyFont="1" applyFill="1" applyBorder="1" applyAlignment="1" applyProtection="1">
      <alignment horizontal="center" vertical="center" wrapText="1"/>
    </xf>
    <xf numFmtId="166" fontId="21" fillId="2" borderId="24" xfId="1" applyNumberFormat="1" applyFont="1" applyFill="1" applyBorder="1" applyAlignment="1" applyProtection="1">
      <alignment horizontal="center" vertical="center"/>
    </xf>
    <xf numFmtId="0" fontId="32" fillId="2" borderId="18" xfId="0" applyFont="1" applyFill="1" applyBorder="1" applyAlignment="1" applyProtection="1">
      <alignment horizontal="center" vertical="center" wrapText="1"/>
    </xf>
    <xf numFmtId="0" fontId="33" fillId="2" borderId="18" xfId="0" applyFont="1" applyFill="1" applyBorder="1" applyAlignment="1" applyProtection="1">
      <alignment horizontal="center" vertical="center" wrapText="1"/>
    </xf>
    <xf numFmtId="0" fontId="33" fillId="2" borderId="18" xfId="0" applyFont="1" applyFill="1" applyBorder="1" applyAlignment="1" applyProtection="1">
      <alignment horizontal="center" vertical="center"/>
    </xf>
    <xf numFmtId="0" fontId="32" fillId="2" borderId="35" xfId="0" applyFont="1" applyFill="1" applyBorder="1" applyAlignment="1" applyProtection="1">
      <alignment horizontal="center" vertical="center" wrapText="1"/>
    </xf>
    <xf numFmtId="0" fontId="32" fillId="2" borderId="18" xfId="0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justify" wrapText="1"/>
    </xf>
    <xf numFmtId="0" fontId="5" fillId="0" borderId="0" xfId="0" applyFont="1" applyBorder="1" applyAlignment="1" applyProtection="1">
      <alignment horizontal="justify"/>
    </xf>
    <xf numFmtId="0" fontId="4" fillId="0" borderId="0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16" fillId="0" borderId="3" xfId="0" applyFont="1" applyBorder="1" applyAlignment="1" applyProtection="1">
      <alignment horizontal="center" vertical="center" wrapText="1"/>
    </xf>
    <xf numFmtId="0" fontId="20" fillId="3" borderId="3" xfId="0" applyFont="1" applyFill="1" applyBorder="1" applyAlignment="1" applyProtection="1">
      <alignment horizontal="center" vertical="center"/>
    </xf>
    <xf numFmtId="0" fontId="21" fillId="0" borderId="3" xfId="0" applyFont="1" applyBorder="1" applyAlignment="1" applyProtection="1">
      <alignment horizontal="center" vertical="center"/>
    </xf>
    <xf numFmtId="0" fontId="20" fillId="4" borderId="1" xfId="0" applyFont="1" applyFill="1" applyBorder="1" applyAlignment="1" applyProtection="1">
      <alignment horizontal="center" vertical="center" wrapText="1"/>
    </xf>
    <xf numFmtId="0" fontId="23" fillId="4" borderId="5" xfId="0" applyFont="1" applyFill="1" applyBorder="1" applyAlignment="1" applyProtection="1">
      <alignment horizontal="center" vertical="center"/>
    </xf>
    <xf numFmtId="0" fontId="20" fillId="5" borderId="19" xfId="6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/>
    </xf>
    <xf numFmtId="0" fontId="20" fillId="5" borderId="8" xfId="6" applyFont="1" applyFill="1" applyBorder="1" applyAlignment="1" applyProtection="1">
      <alignment horizontal="center" vertical="center" wrapText="1"/>
    </xf>
    <xf numFmtId="0" fontId="21" fillId="0" borderId="18" xfId="6" applyFont="1" applyBorder="1" applyAlignment="1" applyProtection="1">
      <alignment horizontal="left" vertical="center" wrapText="1"/>
    </xf>
    <xf numFmtId="0" fontId="20" fillId="0" borderId="17" xfId="6" applyFont="1" applyBorder="1" applyAlignment="1" applyProtection="1">
      <alignment horizontal="center" vertical="center" wrapText="1"/>
    </xf>
    <xf numFmtId="0" fontId="20" fillId="0" borderId="38" xfId="0" applyFont="1" applyBorder="1" applyAlignment="1" applyProtection="1">
      <alignment horizontal="left" vertical="center"/>
    </xf>
    <xf numFmtId="0" fontId="20" fillId="5" borderId="11" xfId="6" applyFont="1" applyFill="1" applyBorder="1" applyAlignment="1" applyProtection="1">
      <alignment horizontal="center" vertical="center" wrapText="1"/>
    </xf>
    <xf numFmtId="0" fontId="20" fillId="3" borderId="17" xfId="6" applyFont="1" applyFill="1" applyBorder="1" applyAlignment="1" applyProtection="1">
      <alignment horizontal="center" vertical="center" wrapText="1"/>
    </xf>
    <xf numFmtId="0" fontId="20" fillId="6" borderId="14" xfId="6" applyFont="1" applyFill="1" applyBorder="1" applyAlignment="1" applyProtection="1">
      <alignment horizontal="center" vertical="center" wrapText="1"/>
    </xf>
    <xf numFmtId="0" fontId="20" fillId="8" borderId="26" xfId="6" applyFont="1" applyFill="1" applyBorder="1" applyAlignment="1" applyProtection="1">
      <alignment horizontal="center" vertical="center"/>
    </xf>
    <xf numFmtId="0" fontId="20" fillId="6" borderId="17" xfId="6" applyFont="1" applyFill="1" applyBorder="1" applyAlignment="1" applyProtection="1">
      <alignment horizontal="center" vertical="center" wrapText="1"/>
    </xf>
    <xf numFmtId="0" fontId="20" fillId="7" borderId="17" xfId="6" applyFont="1" applyFill="1" applyBorder="1" applyAlignment="1" applyProtection="1">
      <alignment horizontal="center" vertical="center" wrapText="1"/>
    </xf>
    <xf numFmtId="0" fontId="20" fillId="5" borderId="17" xfId="6" applyFont="1" applyFill="1" applyBorder="1" applyAlignment="1" applyProtection="1">
      <alignment horizontal="center" vertical="center" wrapText="1"/>
    </xf>
    <xf numFmtId="0" fontId="20" fillId="7" borderId="26" xfId="6" applyFont="1" applyFill="1" applyBorder="1" applyAlignment="1" applyProtection="1">
      <alignment horizontal="center" vertical="center"/>
    </xf>
    <xf numFmtId="0" fontId="20" fillId="2" borderId="26" xfId="6" applyFont="1" applyFill="1" applyBorder="1" applyAlignment="1" applyProtection="1">
      <alignment horizontal="center" vertical="center"/>
    </xf>
    <xf numFmtId="0" fontId="20" fillId="6" borderId="31" xfId="6" applyFont="1" applyFill="1" applyBorder="1" applyAlignment="1" applyProtection="1">
      <alignment horizontal="center" vertical="center" wrapText="1"/>
    </xf>
    <xf numFmtId="0" fontId="27" fillId="2" borderId="26" xfId="6" applyFont="1" applyFill="1" applyBorder="1" applyAlignment="1" applyProtection="1">
      <alignment horizontal="center" vertical="center" wrapText="1"/>
    </xf>
    <xf numFmtId="0" fontId="20" fillId="2" borderId="18" xfId="6" applyFont="1" applyFill="1" applyBorder="1" applyAlignment="1" applyProtection="1">
      <alignment horizontal="left" vertical="center" wrapText="1"/>
    </xf>
    <xf numFmtId="167" fontId="20" fillId="2" borderId="18" xfId="3" applyNumberFormat="1" applyFont="1" applyFill="1" applyBorder="1" applyAlignment="1" applyProtection="1">
      <alignment horizontal="center" vertical="center"/>
    </xf>
    <xf numFmtId="0" fontId="20" fillId="2" borderId="17" xfId="6" applyFont="1" applyFill="1" applyBorder="1" applyAlignment="1" applyProtection="1">
      <alignment horizontal="center" vertical="center" wrapText="1"/>
    </xf>
    <xf numFmtId="0" fontId="21" fillId="2" borderId="24" xfId="9" applyFont="1" applyFill="1" applyBorder="1" applyAlignment="1" applyProtection="1">
      <alignment horizontal="center" vertical="center" wrapText="1"/>
    </xf>
    <xf numFmtId="166" fontId="20" fillId="0" borderId="24" xfId="2" applyNumberFormat="1" applyFont="1" applyBorder="1" applyAlignment="1" applyProtection="1">
      <alignment horizontal="center" vertical="center"/>
    </xf>
    <xf numFmtId="168" fontId="0" fillId="0" borderId="25" xfId="0" applyNumberFormat="1" applyFont="1" applyBorder="1" applyAlignment="1" applyProtection="1">
      <alignment horizontal="center" vertical="center"/>
    </xf>
    <xf numFmtId="0" fontId="21" fillId="0" borderId="25" xfId="8" applyFont="1" applyBorder="1" applyAlignment="1" applyProtection="1">
      <alignment horizontal="center" vertical="center"/>
    </xf>
    <xf numFmtId="0" fontId="21" fillId="2" borderId="24" xfId="8" applyFont="1" applyFill="1" applyBorder="1" applyAlignment="1" applyProtection="1">
      <alignment horizontal="center" vertical="center" wrapText="1"/>
    </xf>
    <xf numFmtId="0" fontId="20" fillId="2" borderId="26" xfId="8" applyFont="1" applyFill="1" applyBorder="1" applyAlignment="1" applyProtection="1">
      <alignment horizontal="center" vertical="center"/>
    </xf>
    <xf numFmtId="0" fontId="20" fillId="2" borderId="27" xfId="8" applyFont="1" applyFill="1" applyBorder="1" applyAlignment="1" applyProtection="1">
      <alignment horizontal="center" vertical="center"/>
    </xf>
    <xf numFmtId="0" fontId="20" fillId="2" borderId="28" xfId="8" applyFont="1" applyFill="1" applyBorder="1" applyAlignment="1" applyProtection="1">
      <alignment horizontal="center" vertical="center"/>
    </xf>
    <xf numFmtId="0" fontId="20" fillId="6" borderId="23" xfId="0" applyFont="1" applyFill="1" applyBorder="1" applyAlignment="1" applyProtection="1">
      <alignment horizontal="center" vertical="center"/>
    </xf>
    <xf numFmtId="0" fontId="20" fillId="7" borderId="4" xfId="8" applyFont="1" applyFill="1" applyBorder="1" applyAlignment="1" applyProtection="1">
      <alignment horizontal="center" vertical="center"/>
    </xf>
    <xf numFmtId="0" fontId="20" fillId="2" borderId="23" xfId="8" applyFont="1" applyFill="1" applyBorder="1" applyAlignment="1" applyProtection="1">
      <alignment horizontal="center" vertical="center"/>
    </xf>
    <xf numFmtId="0" fontId="20" fillId="2" borderId="24" xfId="8" applyFont="1" applyFill="1" applyBorder="1" applyAlignment="1" applyProtection="1">
      <alignment horizontal="center" vertical="center"/>
    </xf>
    <xf numFmtId="0" fontId="20" fillId="2" borderId="3" xfId="6" applyFont="1" applyFill="1" applyBorder="1" applyAlignment="1" applyProtection="1">
      <alignment horizontal="center" vertical="center"/>
    </xf>
    <xf numFmtId="0" fontId="20" fillId="2" borderId="18" xfId="0" applyFont="1" applyFill="1" applyBorder="1" applyAlignment="1" applyProtection="1">
      <alignment horizontal="center" vertical="center"/>
    </xf>
    <xf numFmtId="169" fontId="21" fillId="0" borderId="24" xfId="0" applyNumberFormat="1" applyFont="1" applyBorder="1" applyAlignment="1" applyProtection="1">
      <alignment horizontal="center" vertical="center"/>
    </xf>
    <xf numFmtId="0" fontId="21" fillId="0" borderId="24" xfId="8" applyFont="1" applyBorder="1" applyAlignment="1" applyProtection="1">
      <alignment horizontal="center" vertical="center" wrapText="1"/>
    </xf>
    <xf numFmtId="0" fontId="21" fillId="0" borderId="24" xfId="9" applyFont="1" applyBorder="1" applyAlignment="1" applyProtection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/>
    </xf>
    <xf numFmtId="0" fontId="30" fillId="5" borderId="3" xfId="0" applyFont="1" applyFill="1" applyBorder="1" applyAlignment="1" applyProtection="1">
      <alignment horizontal="center" vertical="center"/>
    </xf>
    <xf numFmtId="0" fontId="0" fillId="5" borderId="8" xfId="0" applyFont="1" applyFill="1" applyBorder="1" applyAlignment="1" applyProtection="1">
      <alignment horizontal="center" vertical="center"/>
    </xf>
    <xf numFmtId="0" fontId="15" fillId="5" borderId="6" xfId="0" applyFont="1" applyFill="1" applyBorder="1" applyAlignment="1" applyProtection="1">
      <alignment horizontal="center" vertical="center"/>
    </xf>
    <xf numFmtId="0" fontId="21" fillId="2" borderId="8" xfId="0" applyFont="1" applyFill="1" applyBorder="1" applyAlignment="1" applyProtection="1">
      <alignment horizontal="center" vertical="center" wrapText="1"/>
    </xf>
    <xf numFmtId="0" fontId="21" fillId="2" borderId="43" xfId="0" applyFont="1" applyFill="1" applyBorder="1" applyAlignment="1" applyProtection="1">
      <alignment horizontal="center" vertical="center" wrapText="1"/>
    </xf>
    <xf numFmtId="0" fontId="21" fillId="2" borderId="7" xfId="0" applyFont="1" applyFill="1" applyBorder="1" applyAlignment="1" applyProtection="1">
      <alignment horizontal="center" vertical="center" wrapText="1"/>
    </xf>
    <xf numFmtId="0" fontId="22" fillId="0" borderId="1" xfId="11" applyFont="1" applyBorder="1" applyAlignment="1" applyProtection="1">
      <alignment horizontal="center" vertical="top"/>
    </xf>
    <xf numFmtId="0" fontId="30" fillId="5" borderId="3" xfId="0" applyFont="1" applyFill="1" applyBorder="1" applyAlignment="1" applyProtection="1">
      <alignment horizontal="center"/>
    </xf>
    <xf numFmtId="0" fontId="21" fillId="5" borderId="6" xfId="11" applyFont="1" applyFill="1" applyBorder="1" applyAlignment="1" applyProtection="1">
      <alignment horizontal="center" vertical="center"/>
    </xf>
    <xf numFmtId="0" fontId="20" fillId="5" borderId="6" xfId="11" applyFont="1" applyFill="1" applyBorder="1" applyAlignment="1" applyProtection="1">
      <alignment horizontal="center" vertical="center"/>
    </xf>
    <xf numFmtId="0" fontId="20" fillId="4" borderId="3" xfId="0" applyFont="1" applyFill="1" applyBorder="1" applyAlignment="1" applyProtection="1">
      <alignment horizontal="center" vertical="center" wrapText="1"/>
    </xf>
    <xf numFmtId="0" fontId="20" fillId="2" borderId="3" xfId="0" applyFont="1" applyFill="1" applyBorder="1" applyAlignment="1" applyProtection="1">
      <alignment horizontal="center" vertical="center"/>
    </xf>
    <xf numFmtId="0" fontId="30" fillId="5" borderId="1" xfId="0" applyFont="1" applyFill="1" applyBorder="1" applyAlignment="1" applyProtection="1">
      <alignment horizontal="center"/>
    </xf>
  </cellXfs>
  <cellStyles count="14">
    <cellStyle name="Hiperlink" xfId="4" builtinId="8"/>
    <cellStyle name="Moeda" xfId="2" builtinId="4"/>
    <cellStyle name="Moeda 2" xfId="5"/>
    <cellStyle name="Normal" xfId="0" builtinId="0"/>
    <cellStyle name="Normal 2" xfId="6"/>
    <cellStyle name="Normal 3" xfId="7"/>
    <cellStyle name="Normal 4" xfId="8"/>
    <cellStyle name="Normal 5" xfId="9"/>
    <cellStyle name="Normal 6" xfId="10"/>
    <cellStyle name="Normal 6 2" xfId="11"/>
    <cellStyle name="Normal 7" xfId="12"/>
    <cellStyle name="Porcentagem" xfId="3" builtinId="5"/>
    <cellStyle name="Vírgula" xfId="1" builtinId="3"/>
    <cellStyle name="Vírgula 2" xfId="1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A9D18E"/>
      <rgbColor rgb="FFFF99CC"/>
      <rgbColor rgb="FFCC99FF"/>
      <rgbColor rgb="FFF4B183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2160</xdr:colOff>
      <xdr:row>48</xdr:row>
      <xdr:rowOff>116100</xdr:rowOff>
    </xdr:to>
    <xdr:sp macro="" textlink="">
      <xdr:nvSpPr>
        <xdr:cNvPr id="2" name="Shape 2"/>
        <xdr:cNvSpPr/>
      </xdr:nvSpPr>
      <xdr:spPr>
        <a:xfrm>
          <a:off x="0" y="399960"/>
          <a:ext cx="2160" cy="9965160"/>
        </a:xfrm>
        <a:custGeom>
          <a:avLst/>
          <a:gdLst>
            <a:gd name="textAreaLeft" fmla="*/ 0 w 2160"/>
            <a:gd name="textAreaRight" fmla="*/ 7200 w 2160"/>
            <a:gd name="textAreaTop" fmla="*/ 0 h 9965160"/>
            <a:gd name="textAreaBottom" fmla="*/ 9970200 h 9965160"/>
          </a:gdLst>
          <a:ahLst/>
          <a:cxnLst/>
          <a:rect l="textAreaLeft" t="textAreaTop" r="textAreaRight" b="textAreaBottom"/>
          <a:pathLst>
            <a:path w="7620" h="9970135">
              <a:moveTo>
                <a:pt x="7622" y="0"/>
              </a:moveTo>
              <a:lnTo>
                <a:pt x="0" y="0"/>
              </a:lnTo>
              <a:lnTo>
                <a:pt x="0" y="9969741"/>
              </a:lnTo>
              <a:lnTo>
                <a:pt x="7622" y="9969741"/>
              </a:lnTo>
              <a:lnTo>
                <a:pt x="7622" y="0"/>
              </a:lnTo>
              <a:close/>
            </a:path>
          </a:pathLst>
        </a:custGeom>
        <a:solidFill>
          <a:srgbClr val="7F7F7F"/>
        </a:solidFill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ables/table1.xml><?xml version="1.0" encoding="utf-8"?>
<table xmlns="http://schemas.openxmlformats.org/spreadsheetml/2006/main" id="1" name="Tabela2" displayName="Tabela2" ref="A3:B22" totalsRowShown="0">
  <autoFilter ref="A3:B22"/>
  <tableColumns count="2">
    <tableColumn id="1" name="Colunas1"/>
    <tableColumn id="2" name="Colunas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../../../../../AppData/Local/Temp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BreakPreview" topLeftCell="B1" zoomScale="124" zoomScaleNormal="145" zoomScalePageLayoutView="124" workbookViewId="0">
      <selection activeCell="E8" sqref="E8"/>
    </sheetView>
  </sheetViews>
  <sheetFormatPr defaultColWidth="8.7109375" defaultRowHeight="15" x14ac:dyDescent="0.25"/>
  <cols>
    <col min="1" max="1" width="33.85546875" style="1" customWidth="1"/>
    <col min="2" max="2" width="15.42578125" style="1" customWidth="1"/>
    <col min="3" max="3" width="19.28515625" style="1" customWidth="1"/>
    <col min="5" max="5" width="59" style="1" customWidth="1"/>
  </cols>
  <sheetData>
    <row r="1" spans="1:5" ht="22.5" x14ac:dyDescent="0.25">
      <c r="E1" s="2" t="s">
        <v>0</v>
      </c>
    </row>
    <row r="2" spans="1:5" ht="21" x14ac:dyDescent="0.35">
      <c r="A2" s="189" t="s">
        <v>1</v>
      </c>
      <c r="B2" s="189"/>
      <c r="C2" s="189"/>
      <c r="E2" s="3" t="s">
        <v>2</v>
      </c>
    </row>
    <row r="3" spans="1:5" ht="174" customHeight="1" x14ac:dyDescent="0.3">
      <c r="A3" s="188" t="s">
        <v>3</v>
      </c>
      <c r="B3" s="188"/>
      <c r="C3" s="188"/>
      <c r="E3" s="4" t="s">
        <v>4</v>
      </c>
    </row>
    <row r="4" spans="1:5" ht="18.75" customHeight="1" x14ac:dyDescent="0.3">
      <c r="A4" s="5"/>
      <c r="E4" s="6"/>
    </row>
    <row r="5" spans="1:5" ht="15.75" customHeight="1" x14ac:dyDescent="0.25">
      <c r="A5" s="190" t="s">
        <v>5</v>
      </c>
      <c r="B5" s="190"/>
      <c r="C5" s="190"/>
      <c r="E5" s="7" t="s">
        <v>6</v>
      </c>
    </row>
    <row r="6" spans="1:5" ht="22.5" x14ac:dyDescent="0.25">
      <c r="A6" s="190" t="s">
        <v>7</v>
      </c>
      <c r="B6" s="190" t="s">
        <v>8</v>
      </c>
      <c r="C6" s="8" t="s">
        <v>9</v>
      </c>
      <c r="E6" s="7" t="s">
        <v>10</v>
      </c>
    </row>
    <row r="7" spans="1:5" ht="15.75" customHeight="1" x14ac:dyDescent="0.25">
      <c r="A7" s="190"/>
      <c r="B7" s="190"/>
      <c r="C7" s="9" t="s">
        <v>11</v>
      </c>
      <c r="E7" s="7" t="s">
        <v>12</v>
      </c>
    </row>
    <row r="8" spans="1:5" x14ac:dyDescent="0.25">
      <c r="A8" s="10" t="s">
        <v>13</v>
      </c>
      <c r="B8" s="8">
        <v>30</v>
      </c>
      <c r="C8" s="8">
        <v>7</v>
      </c>
      <c r="D8" s="1">
        <f>(7/30)/12</f>
        <v>1.9444444444444445E-2</v>
      </c>
      <c r="E8" s="11" t="s">
        <v>14</v>
      </c>
    </row>
    <row r="9" spans="1:5" ht="13.5" customHeight="1" x14ac:dyDescent="0.25">
      <c r="A9" s="12" t="s">
        <v>15</v>
      </c>
      <c r="B9" s="13">
        <v>33</v>
      </c>
      <c r="C9" s="13">
        <v>8</v>
      </c>
      <c r="D9" s="1">
        <f>(3/30)/12</f>
        <v>8.3333333333333332E-3</v>
      </c>
    </row>
    <row r="10" spans="1:5" ht="13.5" customHeight="1" x14ac:dyDescent="0.25">
      <c r="A10" s="12" t="s">
        <v>16</v>
      </c>
      <c r="B10" s="13">
        <v>36</v>
      </c>
      <c r="C10" s="13">
        <v>8</v>
      </c>
      <c r="D10" s="1">
        <f>(3/30)/12</f>
        <v>8.3333333333333332E-3</v>
      </c>
    </row>
    <row r="11" spans="1:5" ht="13.5" customHeight="1" x14ac:dyDescent="0.25">
      <c r="A11" s="12" t="s">
        <v>17</v>
      </c>
      <c r="B11" s="13">
        <v>39</v>
      </c>
      <c r="C11" s="13">
        <v>9</v>
      </c>
      <c r="D11" s="1">
        <f>(3/30)/12</f>
        <v>8.3333333333333332E-3</v>
      </c>
    </row>
    <row r="12" spans="1:5" ht="13.5" customHeight="1" x14ac:dyDescent="0.25">
      <c r="A12" s="14" t="s">
        <v>18</v>
      </c>
      <c r="B12" s="15">
        <v>42</v>
      </c>
      <c r="C12" s="15">
        <v>10</v>
      </c>
      <c r="D12" s="1">
        <f>(3/30)/12</f>
        <v>8.3333333333333332E-3</v>
      </c>
    </row>
    <row r="13" spans="1:5" ht="13.5" customHeight="1" x14ac:dyDescent="0.25">
      <c r="A13" s="12" t="s">
        <v>19</v>
      </c>
      <c r="B13" s="13">
        <v>45</v>
      </c>
      <c r="C13" s="13">
        <v>11</v>
      </c>
      <c r="D13" s="1">
        <f>(3/30)/12</f>
        <v>8.3333333333333332E-3</v>
      </c>
      <c r="E13" s="1" t="s">
        <v>20</v>
      </c>
    </row>
    <row r="14" spans="1:5" x14ac:dyDescent="0.25">
      <c r="A14" s="12" t="s">
        <v>21</v>
      </c>
      <c r="B14" s="13">
        <v>48</v>
      </c>
      <c r="C14" s="13">
        <v>11</v>
      </c>
      <c r="E14" s="1" t="s">
        <v>22</v>
      </c>
    </row>
    <row r="15" spans="1:5" x14ac:dyDescent="0.25">
      <c r="A15" s="12" t="s">
        <v>23</v>
      </c>
      <c r="B15" s="13">
        <v>51</v>
      </c>
      <c r="C15" s="13">
        <v>12</v>
      </c>
    </row>
    <row r="16" spans="1:5" x14ac:dyDescent="0.25">
      <c r="A16" s="12" t="s">
        <v>24</v>
      </c>
      <c r="B16" s="13">
        <v>54</v>
      </c>
      <c r="C16" s="13">
        <v>13</v>
      </c>
    </row>
    <row r="17" spans="1:5" x14ac:dyDescent="0.25">
      <c r="A17" s="12" t="s">
        <v>25</v>
      </c>
      <c r="B17" s="13">
        <v>57</v>
      </c>
      <c r="C17" s="13">
        <v>13</v>
      </c>
    </row>
    <row r="18" spans="1:5" x14ac:dyDescent="0.25">
      <c r="A18" s="12" t="s">
        <v>26</v>
      </c>
      <c r="B18" s="13">
        <v>60</v>
      </c>
      <c r="C18" s="13">
        <v>14</v>
      </c>
    </row>
    <row r="19" spans="1:5" x14ac:dyDescent="0.25">
      <c r="A19" s="12" t="s">
        <v>27</v>
      </c>
      <c r="B19" s="13">
        <v>63</v>
      </c>
      <c r="C19" s="13">
        <v>15</v>
      </c>
    </row>
    <row r="20" spans="1:5" x14ac:dyDescent="0.25">
      <c r="A20" s="12" t="s">
        <v>28</v>
      </c>
      <c r="B20" s="13">
        <v>66</v>
      </c>
      <c r="C20" s="13">
        <v>15</v>
      </c>
    </row>
    <row r="21" spans="1:5" x14ac:dyDescent="0.25">
      <c r="A21" s="12" t="s">
        <v>29</v>
      </c>
      <c r="B21" s="13">
        <v>69</v>
      </c>
      <c r="C21" s="13">
        <v>16</v>
      </c>
    </row>
    <row r="22" spans="1:5" x14ac:dyDescent="0.25">
      <c r="A22" s="12" t="s">
        <v>30</v>
      </c>
      <c r="B22" s="13">
        <v>72</v>
      </c>
      <c r="C22" s="13">
        <v>17</v>
      </c>
    </row>
    <row r="23" spans="1:5" x14ac:dyDescent="0.25">
      <c r="A23" s="12" t="s">
        <v>31</v>
      </c>
      <c r="B23" s="13">
        <v>75</v>
      </c>
      <c r="C23" s="13">
        <v>18</v>
      </c>
    </row>
    <row r="24" spans="1:5" x14ac:dyDescent="0.25">
      <c r="A24" s="12" t="s">
        <v>32</v>
      </c>
      <c r="B24" s="13">
        <v>78</v>
      </c>
      <c r="C24" s="13">
        <v>18</v>
      </c>
    </row>
    <row r="25" spans="1:5" x14ac:dyDescent="0.25">
      <c r="A25" s="12" t="s">
        <v>33</v>
      </c>
      <c r="B25" s="13">
        <v>81</v>
      </c>
      <c r="C25" s="13">
        <v>19</v>
      </c>
    </row>
    <row r="26" spans="1:5" x14ac:dyDescent="0.25">
      <c r="A26" s="12" t="s">
        <v>34</v>
      </c>
      <c r="B26" s="13">
        <v>84</v>
      </c>
      <c r="C26" s="13">
        <v>20</v>
      </c>
    </row>
    <row r="27" spans="1:5" x14ac:dyDescent="0.25">
      <c r="A27" s="12" t="s">
        <v>35</v>
      </c>
      <c r="B27" s="13">
        <v>87</v>
      </c>
      <c r="C27" s="13">
        <v>20</v>
      </c>
    </row>
    <row r="28" spans="1:5" x14ac:dyDescent="0.25">
      <c r="A28" s="16" t="s">
        <v>36</v>
      </c>
      <c r="B28" s="9">
        <v>90</v>
      </c>
      <c r="C28" s="9">
        <v>21</v>
      </c>
      <c r="E28" s="17" t="s">
        <v>37</v>
      </c>
    </row>
    <row r="29" spans="1:5" ht="18.75" x14ac:dyDescent="0.3">
      <c r="A29" s="5"/>
    </row>
    <row r="30" spans="1:5" ht="145.5" customHeight="1" x14ac:dyDescent="0.3">
      <c r="A30" s="187" t="s">
        <v>38</v>
      </c>
      <c r="B30" s="187"/>
      <c r="C30" s="187"/>
    </row>
    <row r="31" spans="1:5" ht="18.75" x14ac:dyDescent="0.3">
      <c r="A31" s="5"/>
    </row>
    <row r="32" spans="1:5" ht="18.75" x14ac:dyDescent="0.3">
      <c r="A32" s="18" t="s">
        <v>39</v>
      </c>
    </row>
    <row r="33" spans="1:3" ht="18.75" x14ac:dyDescent="0.3">
      <c r="A33" s="5"/>
    </row>
    <row r="34" spans="1:3" x14ac:dyDescent="0.25">
      <c r="A34" s="188" t="s">
        <v>40</v>
      </c>
      <c r="B34" s="188"/>
      <c r="C34" s="188"/>
    </row>
    <row r="35" spans="1:3" x14ac:dyDescent="0.25">
      <c r="A35" s="188"/>
      <c r="B35" s="188"/>
      <c r="C35" s="188"/>
    </row>
    <row r="36" spans="1:3" x14ac:dyDescent="0.25">
      <c r="A36" s="188" t="s">
        <v>41</v>
      </c>
      <c r="B36" s="188"/>
      <c r="C36" s="188"/>
    </row>
    <row r="37" spans="1:3" x14ac:dyDescent="0.25">
      <c r="A37" s="188"/>
      <c r="B37" s="188"/>
      <c r="C37" s="188"/>
    </row>
    <row r="40" spans="1:3" x14ac:dyDescent="0.25">
      <c r="A40" s="19" t="s">
        <v>42</v>
      </c>
    </row>
  </sheetData>
  <mergeCells count="8">
    <mergeCell ref="A30:C30"/>
    <mergeCell ref="A34:C35"/>
    <mergeCell ref="A36:C37"/>
    <mergeCell ref="A2:C2"/>
    <mergeCell ref="A3:C3"/>
    <mergeCell ref="A5:C5"/>
    <mergeCell ref="A6:A7"/>
    <mergeCell ref="B6:B7"/>
  </mergeCells>
  <hyperlinks>
    <hyperlink ref="E28" location="'ADAPTAÇÃO A IN 06_13'!B77" display="VOLTAR PLANILHA PRINCIPAL"/>
  </hyperlink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view="pageBreakPreview" topLeftCell="A7" zoomScale="124" zoomScaleNormal="100" zoomScalePageLayoutView="124" workbookViewId="0">
      <selection activeCell="E8" sqref="E8"/>
    </sheetView>
  </sheetViews>
  <sheetFormatPr defaultColWidth="42.85546875" defaultRowHeight="18.75" x14ac:dyDescent="0.3"/>
  <cols>
    <col min="1" max="1" width="42.85546875" style="20"/>
    <col min="2" max="2" width="72.5703125" style="20" customWidth="1"/>
    <col min="3" max="16384" width="42.85546875" style="21"/>
  </cols>
  <sheetData>
    <row r="1" spans="1:2" ht="19.5" customHeight="1" x14ac:dyDescent="0.3">
      <c r="A1" s="191" t="s">
        <v>43</v>
      </c>
      <c r="B1" s="191"/>
    </row>
    <row r="2" spans="1:2" x14ac:dyDescent="0.3">
      <c r="A2" s="22" t="s">
        <v>44</v>
      </c>
      <c r="B2" s="22" t="s">
        <v>45</v>
      </c>
    </row>
    <row r="3" spans="1:2" x14ac:dyDescent="0.3">
      <c r="A3" s="23" t="s">
        <v>46</v>
      </c>
      <c r="B3" s="24" t="s">
        <v>47</v>
      </c>
    </row>
    <row r="4" spans="1:2" ht="56.25" x14ac:dyDescent="0.3">
      <c r="A4" s="25" t="s">
        <v>48</v>
      </c>
      <c r="B4" s="26" t="s">
        <v>49</v>
      </c>
    </row>
    <row r="5" spans="1:2" x14ac:dyDescent="0.3">
      <c r="A5" s="25" t="s">
        <v>50</v>
      </c>
      <c r="B5" s="26" t="s">
        <v>51</v>
      </c>
    </row>
    <row r="6" spans="1:2" ht="93.75" x14ac:dyDescent="0.3">
      <c r="A6" s="25" t="s">
        <v>52</v>
      </c>
      <c r="B6" s="26" t="s">
        <v>53</v>
      </c>
    </row>
    <row r="7" spans="1:2" ht="37.5" x14ac:dyDescent="0.3">
      <c r="A7" s="25" t="s">
        <v>54</v>
      </c>
      <c r="B7" s="26" t="s">
        <v>55</v>
      </c>
    </row>
    <row r="8" spans="1:2" x14ac:dyDescent="0.3">
      <c r="A8" s="25" t="s">
        <v>56</v>
      </c>
      <c r="B8" s="26" t="s">
        <v>57</v>
      </c>
    </row>
    <row r="9" spans="1:2" ht="37.5" x14ac:dyDescent="0.3">
      <c r="A9" s="25" t="s">
        <v>58</v>
      </c>
      <c r="B9" s="26" t="s">
        <v>59</v>
      </c>
    </row>
    <row r="10" spans="1:2" ht="56.25" x14ac:dyDescent="0.3">
      <c r="A10" s="25" t="s">
        <v>60</v>
      </c>
      <c r="B10" s="26" t="s">
        <v>61</v>
      </c>
    </row>
    <row r="11" spans="1:2" ht="75" x14ac:dyDescent="0.3">
      <c r="A11" s="25" t="s">
        <v>62</v>
      </c>
      <c r="B11" s="26" t="s">
        <v>63</v>
      </c>
    </row>
    <row r="12" spans="1:2" ht="56.25" x14ac:dyDescent="0.3">
      <c r="A12" s="25" t="s">
        <v>60</v>
      </c>
      <c r="B12" s="26" t="s">
        <v>64</v>
      </c>
    </row>
    <row r="13" spans="1:2" ht="37.5" x14ac:dyDescent="0.3">
      <c r="A13" s="25" t="s">
        <v>60</v>
      </c>
      <c r="B13" s="26" t="s">
        <v>65</v>
      </c>
    </row>
    <row r="14" spans="1:2" ht="56.25" x14ac:dyDescent="0.3">
      <c r="A14" s="25" t="s">
        <v>60</v>
      </c>
      <c r="B14" s="26" t="s">
        <v>66</v>
      </c>
    </row>
    <row r="15" spans="1:2" x14ac:dyDescent="0.3">
      <c r="A15" s="25" t="s">
        <v>60</v>
      </c>
      <c r="B15" s="26" t="s">
        <v>67</v>
      </c>
    </row>
    <row r="16" spans="1:2" ht="37.5" x14ac:dyDescent="0.3">
      <c r="A16" s="25" t="s">
        <v>68</v>
      </c>
      <c r="B16" s="26" t="s">
        <v>69</v>
      </c>
    </row>
    <row r="17" spans="1:2" ht="37.5" x14ac:dyDescent="0.3">
      <c r="A17" s="25" t="s">
        <v>70</v>
      </c>
      <c r="B17" s="26" t="s">
        <v>71</v>
      </c>
    </row>
    <row r="18" spans="1:2" ht="37.5" x14ac:dyDescent="0.3">
      <c r="A18" s="25" t="s">
        <v>60</v>
      </c>
      <c r="B18" s="26" t="s">
        <v>72</v>
      </c>
    </row>
    <row r="19" spans="1:2" ht="56.25" x14ac:dyDescent="0.3">
      <c r="A19" s="25" t="s">
        <v>60</v>
      </c>
      <c r="B19" s="26" t="s">
        <v>73</v>
      </c>
    </row>
    <row r="20" spans="1:2" ht="37.5" x14ac:dyDescent="0.3">
      <c r="A20" s="25" t="s">
        <v>60</v>
      </c>
      <c r="B20" s="26" t="s">
        <v>74</v>
      </c>
    </row>
    <row r="21" spans="1:2" ht="56.25" x14ac:dyDescent="0.3">
      <c r="A21" s="25" t="s">
        <v>60</v>
      </c>
      <c r="B21" s="26" t="s">
        <v>75</v>
      </c>
    </row>
    <row r="22" spans="1:2" x14ac:dyDescent="0.3">
      <c r="A22" s="27" t="s">
        <v>60</v>
      </c>
      <c r="B22" s="28" t="s">
        <v>76</v>
      </c>
    </row>
  </sheetData>
  <mergeCells count="1">
    <mergeCell ref="A1:B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view="pageBreakPreview" zoomScaleNormal="100" workbookViewId="0">
      <selection activeCell="H9" sqref="H9"/>
    </sheetView>
  </sheetViews>
  <sheetFormatPr defaultColWidth="9.140625" defaultRowHeight="12.75" x14ac:dyDescent="0.25"/>
  <cols>
    <col min="1" max="1" width="10.7109375" style="29" customWidth="1"/>
    <col min="2" max="2" width="60.7109375" style="30" customWidth="1"/>
    <col min="3" max="3" width="30.7109375" style="29" customWidth="1"/>
    <col min="4" max="5" width="15.7109375" style="29" customWidth="1"/>
    <col min="6" max="8" width="15.7109375" style="31" customWidth="1"/>
    <col min="9" max="16384" width="9.140625" style="29"/>
  </cols>
  <sheetData>
    <row r="1" spans="1:8" ht="15" customHeight="1" x14ac:dyDescent="0.25">
      <c r="A1" s="192" t="s">
        <v>77</v>
      </c>
      <c r="B1" s="192"/>
      <c r="C1" s="192"/>
      <c r="D1" s="192"/>
      <c r="E1" s="192"/>
      <c r="F1" s="192"/>
      <c r="G1" s="192"/>
      <c r="H1" s="192"/>
    </row>
    <row r="2" spans="1:8" ht="15" customHeight="1" x14ac:dyDescent="0.25">
      <c r="A2" s="193"/>
      <c r="B2" s="193"/>
      <c r="C2" s="193"/>
      <c r="D2" s="193"/>
      <c r="E2" s="193"/>
      <c r="F2" s="193"/>
      <c r="G2" s="193"/>
      <c r="H2" s="193"/>
    </row>
    <row r="3" spans="1:8" ht="15" customHeight="1" x14ac:dyDescent="0.25">
      <c r="A3" s="194" t="s">
        <v>78</v>
      </c>
      <c r="B3" s="194"/>
      <c r="C3" s="194"/>
      <c r="D3" s="194"/>
      <c r="E3" s="194"/>
      <c r="F3" s="194"/>
      <c r="G3" s="194"/>
      <c r="H3" s="194"/>
    </row>
    <row r="4" spans="1:8" ht="60" customHeight="1" x14ac:dyDescent="0.25">
      <c r="A4" s="32" t="s">
        <v>79</v>
      </c>
      <c r="B4" s="33" t="s">
        <v>80</v>
      </c>
      <c r="C4" s="33" t="s">
        <v>81</v>
      </c>
      <c r="D4" s="33" t="s">
        <v>82</v>
      </c>
      <c r="E4" s="33" t="s">
        <v>83</v>
      </c>
      <c r="F4" s="34" t="s">
        <v>84</v>
      </c>
      <c r="G4" s="34" t="s">
        <v>85</v>
      </c>
      <c r="H4" s="35" t="s">
        <v>86</v>
      </c>
    </row>
    <row r="5" spans="1:8" ht="15.75" customHeight="1" x14ac:dyDescent="0.25">
      <c r="A5" s="36">
        <v>1</v>
      </c>
      <c r="B5" s="37" t="s">
        <v>87</v>
      </c>
      <c r="C5" s="37" t="s">
        <v>88</v>
      </c>
      <c r="D5" s="37">
        <v>2</v>
      </c>
      <c r="E5" s="37">
        <v>12</v>
      </c>
      <c r="F5" s="38">
        <f>'Vigilante Armado - Diurno'!E113</f>
        <v>14178.832343075705</v>
      </c>
      <c r="G5" s="38">
        <f t="shared" ref="G5:H8" si="0">F5*D5</f>
        <v>28357.664686151409</v>
      </c>
      <c r="H5" s="39">
        <f t="shared" si="0"/>
        <v>340291.97623381694</v>
      </c>
    </row>
    <row r="6" spans="1:8" ht="15.75" customHeight="1" x14ac:dyDescent="0.25">
      <c r="A6" s="36">
        <v>2</v>
      </c>
      <c r="B6" s="37" t="s">
        <v>87</v>
      </c>
      <c r="C6" s="37" t="s">
        <v>89</v>
      </c>
      <c r="D6" s="37">
        <v>2</v>
      </c>
      <c r="E6" s="37">
        <v>12</v>
      </c>
      <c r="F6" s="38">
        <f>'Vigilante Armado - Noturno'!E113</f>
        <v>15317.219369499126</v>
      </c>
      <c r="G6" s="38">
        <f t="shared" si="0"/>
        <v>30634.438738998251</v>
      </c>
      <c r="H6" s="39">
        <f t="shared" si="0"/>
        <v>367613.26486797899</v>
      </c>
    </row>
    <row r="7" spans="1:8" ht="15.75" customHeight="1" x14ac:dyDescent="0.25">
      <c r="A7" s="40">
        <v>3</v>
      </c>
      <c r="B7" s="41" t="s">
        <v>90</v>
      </c>
      <c r="C7" s="42" t="s">
        <v>88</v>
      </c>
      <c r="D7" s="43">
        <v>1</v>
      </c>
      <c r="E7" s="44">
        <v>12</v>
      </c>
      <c r="F7" s="45">
        <f>'Vigilante Desarmado - Diurno'!E113</f>
        <v>13875.792616064211</v>
      </c>
      <c r="G7" s="38">
        <f t="shared" si="0"/>
        <v>13875.792616064211</v>
      </c>
      <c r="H7" s="39">
        <f t="shared" si="0"/>
        <v>166509.51139277054</v>
      </c>
    </row>
    <row r="8" spans="1:8" ht="15.75" customHeight="1" x14ac:dyDescent="0.25">
      <c r="A8" s="46">
        <v>4</v>
      </c>
      <c r="B8" s="47" t="s">
        <v>90</v>
      </c>
      <c r="C8" s="48" t="s">
        <v>89</v>
      </c>
      <c r="D8" s="49">
        <v>1</v>
      </c>
      <c r="E8" s="50">
        <v>12</v>
      </c>
      <c r="F8" s="51">
        <f>'Vigilante Desarmado - Noturno'!E113</f>
        <v>15014.179642487632</v>
      </c>
      <c r="G8" s="38">
        <f t="shared" si="0"/>
        <v>15014.179642487632</v>
      </c>
      <c r="H8" s="52">
        <f t="shared" si="0"/>
        <v>180170.15570985159</v>
      </c>
    </row>
    <row r="9" spans="1:8" ht="15" customHeight="1" x14ac:dyDescent="0.25">
      <c r="A9" s="53"/>
      <c r="B9" s="54"/>
      <c r="C9" s="195"/>
      <c r="D9" s="195"/>
      <c r="E9" s="195"/>
      <c r="F9" s="195"/>
      <c r="G9" s="55">
        <f>SUM(G5:G8)</f>
        <v>87882.075683701507</v>
      </c>
      <c r="H9" s="55">
        <f>SUM(H5:H8)</f>
        <v>1054584.9082044181</v>
      </c>
    </row>
    <row r="12" spans="1:8" x14ac:dyDescent="0.25">
      <c r="B12" s="29"/>
      <c r="F12" s="29"/>
      <c r="G12" s="29"/>
      <c r="H12" s="29"/>
    </row>
    <row r="13" spans="1:8" x14ac:dyDescent="0.25">
      <c r="B13" s="29"/>
      <c r="F13" s="29"/>
      <c r="G13" s="29"/>
      <c r="H13" s="29"/>
    </row>
    <row r="19" spans="5:5" x14ac:dyDescent="0.25">
      <c r="E19" s="56"/>
    </row>
  </sheetData>
  <mergeCells count="4">
    <mergeCell ref="A1:H1"/>
    <mergeCell ref="A2:H2"/>
    <mergeCell ref="A3:H3"/>
    <mergeCell ref="C9:F9"/>
  </mergeCells>
  <printOptions horizontalCentered="1"/>
  <pageMargins left="0.31527777777777799" right="0.31527777777777799" top="0.35416666666666702" bottom="1.02847222222222" header="0.511811023622047" footer="0.511811023622047"/>
  <pageSetup paperSize="9" scale="53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view="pageBreakPreview" topLeftCell="A70" zoomScaleNormal="115" workbookViewId="0">
      <selection activeCell="H9" sqref="H9"/>
    </sheetView>
  </sheetViews>
  <sheetFormatPr defaultColWidth="9.140625" defaultRowHeight="15.75" x14ac:dyDescent="0.25"/>
  <cols>
    <col min="1" max="1" width="8.7109375" style="57" customWidth="1"/>
    <col min="2" max="2" width="72.7109375" style="58" customWidth="1"/>
    <col min="3" max="3" width="15.7109375" style="58" customWidth="1"/>
    <col min="4" max="4" width="15.7109375" style="59" customWidth="1"/>
    <col min="5" max="5" width="15.7109375" style="60" customWidth="1"/>
    <col min="6" max="16384" width="9.140625" style="61"/>
  </cols>
  <sheetData>
    <row r="1" spans="1:5" x14ac:dyDescent="0.25">
      <c r="A1" s="224"/>
      <c r="B1" s="224"/>
      <c r="C1" s="224"/>
      <c r="D1" s="224"/>
      <c r="E1" s="224"/>
    </row>
    <row r="2" spans="1:5" ht="16.5" customHeight="1" x14ac:dyDescent="0.25">
      <c r="A2" s="225"/>
      <c r="B2" s="225"/>
      <c r="C2" s="225"/>
      <c r="D2" s="225"/>
      <c r="E2" s="225"/>
    </row>
    <row r="3" spans="1:5" x14ac:dyDescent="0.25">
      <c r="A3" s="226" t="s">
        <v>91</v>
      </c>
      <c r="B3" s="226"/>
      <c r="C3" s="226"/>
      <c r="D3" s="226"/>
      <c r="E3" s="226"/>
    </row>
    <row r="4" spans="1:5" ht="15" customHeight="1" x14ac:dyDescent="0.25">
      <c r="A4" s="62" t="s">
        <v>92</v>
      </c>
      <c r="B4" s="63" t="s">
        <v>93</v>
      </c>
      <c r="C4" s="227">
        <v>2025</v>
      </c>
      <c r="D4" s="227"/>
      <c r="E4" s="227"/>
    </row>
    <row r="5" spans="1:5" ht="15" customHeight="1" x14ac:dyDescent="0.25">
      <c r="A5" s="62" t="s">
        <v>94</v>
      </c>
      <c r="B5" s="63" t="s">
        <v>80</v>
      </c>
      <c r="C5" s="220" t="s">
        <v>95</v>
      </c>
      <c r="D5" s="220"/>
      <c r="E5" s="220"/>
    </row>
    <row r="6" spans="1:5" ht="15.75" customHeight="1" x14ac:dyDescent="0.25">
      <c r="A6" s="62" t="s">
        <v>96</v>
      </c>
      <c r="B6" s="63" t="s">
        <v>97</v>
      </c>
      <c r="C6" s="219" t="s">
        <v>98</v>
      </c>
      <c r="D6" s="219"/>
      <c r="E6" s="219"/>
    </row>
    <row r="7" spans="1:5" x14ac:dyDescent="0.25">
      <c r="A7" s="62"/>
      <c r="B7" s="63" t="s">
        <v>99</v>
      </c>
      <c r="C7" s="220">
        <v>12</v>
      </c>
      <c r="D7" s="220"/>
      <c r="E7" s="220"/>
    </row>
    <row r="8" spans="1:5" x14ac:dyDescent="0.25">
      <c r="A8" s="221" t="s">
        <v>100</v>
      </c>
      <c r="B8" s="221"/>
      <c r="C8" s="221"/>
      <c r="D8" s="221"/>
      <c r="E8" s="221"/>
    </row>
    <row r="9" spans="1:5" x14ac:dyDescent="0.25">
      <c r="A9" s="222" t="s">
        <v>101</v>
      </c>
      <c r="B9" s="222"/>
      <c r="C9" s="222"/>
      <c r="D9" s="222"/>
      <c r="E9" s="222"/>
    </row>
    <row r="10" spans="1:5" ht="15.75" customHeight="1" x14ac:dyDescent="0.25">
      <c r="A10" s="223" t="s">
        <v>102</v>
      </c>
      <c r="B10" s="223"/>
      <c r="C10" s="223"/>
      <c r="D10" s="223"/>
      <c r="E10" s="223"/>
    </row>
    <row r="11" spans="1:5" ht="30" customHeight="1" x14ac:dyDescent="0.25">
      <c r="A11" s="215" t="s">
        <v>103</v>
      </c>
      <c r="B11" s="215"/>
      <c r="C11" s="215"/>
      <c r="D11" s="215"/>
      <c r="E11" s="65" t="s">
        <v>104</v>
      </c>
    </row>
    <row r="12" spans="1:5" ht="15.75" customHeight="1" x14ac:dyDescent="0.25">
      <c r="A12" s="62">
        <v>1</v>
      </c>
      <c r="B12" s="66" t="s">
        <v>105</v>
      </c>
      <c r="C12" s="216" t="s">
        <v>95</v>
      </c>
      <c r="D12" s="216"/>
      <c r="E12" s="216"/>
    </row>
    <row r="13" spans="1:5" ht="30" customHeight="1" x14ac:dyDescent="0.25">
      <c r="A13" s="62">
        <v>2</v>
      </c>
      <c r="B13" s="66" t="s">
        <v>106</v>
      </c>
      <c r="C13" s="217">
        <v>1803.43</v>
      </c>
      <c r="D13" s="217"/>
      <c r="E13" s="217"/>
    </row>
    <row r="14" spans="1:5" ht="15.75" customHeight="1" x14ac:dyDescent="0.25">
      <c r="A14" s="62">
        <v>3</v>
      </c>
      <c r="B14" s="66" t="s">
        <v>107</v>
      </c>
      <c r="C14" s="216" t="s">
        <v>108</v>
      </c>
      <c r="D14" s="216"/>
      <c r="E14" s="216"/>
    </row>
    <row r="15" spans="1:5" x14ac:dyDescent="0.25">
      <c r="A15" s="62">
        <v>4</v>
      </c>
      <c r="B15" s="67" t="s">
        <v>109</v>
      </c>
      <c r="C15" s="218">
        <v>45805</v>
      </c>
      <c r="D15" s="218"/>
      <c r="E15" s="218"/>
    </row>
    <row r="16" spans="1:5" x14ac:dyDescent="0.25">
      <c r="A16" s="205" t="s">
        <v>110</v>
      </c>
      <c r="B16" s="205"/>
      <c r="C16" s="205"/>
      <c r="D16" s="205"/>
      <c r="E16" s="205"/>
    </row>
    <row r="17" spans="1:5" ht="15.75" customHeight="1" x14ac:dyDescent="0.25">
      <c r="A17" s="68">
        <v>1</v>
      </c>
      <c r="B17" s="213" t="s">
        <v>111</v>
      </c>
      <c r="C17" s="213"/>
      <c r="D17" s="213"/>
      <c r="E17" s="69" t="s">
        <v>104</v>
      </c>
    </row>
    <row r="18" spans="1:5" ht="15.75" customHeight="1" x14ac:dyDescent="0.25">
      <c r="A18" s="70" t="s">
        <v>92</v>
      </c>
      <c r="B18" s="71" t="s">
        <v>112</v>
      </c>
      <c r="C18" s="41"/>
      <c r="D18" s="72"/>
      <c r="E18" s="73">
        <f>C13</f>
        <v>1803.43</v>
      </c>
    </row>
    <row r="19" spans="1:5" ht="15.75" customHeight="1" x14ac:dyDescent="0.25">
      <c r="A19" s="70" t="s">
        <v>94</v>
      </c>
      <c r="B19" s="71" t="s">
        <v>113</v>
      </c>
      <c r="C19" s="74">
        <v>0</v>
      </c>
      <c r="D19" s="75">
        <v>1518</v>
      </c>
      <c r="E19" s="73">
        <f>D19*C19</f>
        <v>0</v>
      </c>
    </row>
    <row r="20" spans="1:5" ht="15.75" customHeight="1" x14ac:dyDescent="0.25">
      <c r="A20" s="70" t="s">
        <v>96</v>
      </c>
      <c r="B20" s="71" t="s">
        <v>114</v>
      </c>
      <c r="C20" s="74">
        <v>0</v>
      </c>
      <c r="D20" s="76"/>
      <c r="E20" s="73">
        <v>0</v>
      </c>
    </row>
    <row r="21" spans="1:5" ht="15.75" customHeight="1" x14ac:dyDescent="0.25">
      <c r="A21" s="70"/>
      <c r="B21" s="214" t="s">
        <v>115</v>
      </c>
      <c r="C21" s="214"/>
      <c r="D21" s="214"/>
      <c r="E21" s="73">
        <f>E18+E19+E20</f>
        <v>1803.43</v>
      </c>
    </row>
    <row r="22" spans="1:5" x14ac:dyDescent="0.25">
      <c r="A22" s="70" t="s">
        <v>116</v>
      </c>
      <c r="B22" s="71" t="s">
        <v>117</v>
      </c>
      <c r="C22" s="74">
        <v>0.3</v>
      </c>
      <c r="D22" s="75">
        <f>E21</f>
        <v>1803.43</v>
      </c>
      <c r="E22" s="73">
        <f>D22*C22</f>
        <v>541.029</v>
      </c>
    </row>
    <row r="23" spans="1:5" ht="15.75" customHeight="1" x14ac:dyDescent="0.25">
      <c r="A23" s="206" t="s">
        <v>118</v>
      </c>
      <c r="B23" s="206"/>
      <c r="C23" s="206"/>
      <c r="D23" s="206"/>
      <c r="E23" s="77">
        <f>SUM(E21:E22)</f>
        <v>2344.4589999999998</v>
      </c>
    </row>
    <row r="24" spans="1:5" x14ac:dyDescent="0.25">
      <c r="A24" s="205" t="s">
        <v>119</v>
      </c>
      <c r="B24" s="205"/>
      <c r="C24" s="205"/>
      <c r="D24" s="205"/>
      <c r="E24" s="205"/>
    </row>
    <row r="25" spans="1:5" ht="30" x14ac:dyDescent="0.25">
      <c r="A25" s="78" t="s">
        <v>120</v>
      </c>
      <c r="B25" s="79" t="s">
        <v>121</v>
      </c>
      <c r="C25" s="80" t="s">
        <v>122</v>
      </c>
      <c r="D25" s="81"/>
      <c r="E25" s="82" t="s">
        <v>104</v>
      </c>
    </row>
    <row r="26" spans="1:5" x14ac:dyDescent="0.25">
      <c r="A26" s="83" t="s">
        <v>92</v>
      </c>
      <c r="B26" s="84" t="s">
        <v>123</v>
      </c>
      <c r="C26" s="85">
        <f>E23</f>
        <v>2344.4589999999998</v>
      </c>
      <c r="D26" s="86">
        <f>1/12</f>
        <v>8.3333333333333329E-2</v>
      </c>
      <c r="E26" s="87">
        <f>(C26)*D26</f>
        <v>195.37158333333332</v>
      </c>
    </row>
    <row r="27" spans="1:5" x14ac:dyDescent="0.25">
      <c r="A27" s="83" t="s">
        <v>94</v>
      </c>
      <c r="B27" s="88" t="s">
        <v>124</v>
      </c>
      <c r="C27" s="85">
        <f>E23</f>
        <v>2344.4589999999998</v>
      </c>
      <c r="D27" s="86">
        <v>0.1111</v>
      </c>
      <c r="E27" s="87">
        <f>(C27)*D27</f>
        <v>260.4693949</v>
      </c>
    </row>
    <row r="28" spans="1:5" ht="15.75" customHeight="1" x14ac:dyDescent="0.25">
      <c r="A28" s="208" t="s">
        <v>125</v>
      </c>
      <c r="B28" s="208"/>
      <c r="C28" s="208"/>
      <c r="D28" s="89">
        <f>SUM(D26:D27)</f>
        <v>0.19443333333333335</v>
      </c>
      <c r="E28" s="90">
        <f>SUM(E26:E27)</f>
        <v>455.84097823333332</v>
      </c>
    </row>
    <row r="29" spans="1:5" ht="30" customHeight="1" x14ac:dyDescent="0.25">
      <c r="A29" s="212" t="s">
        <v>126</v>
      </c>
      <c r="B29" s="212"/>
      <c r="C29" s="212"/>
      <c r="D29" s="212"/>
      <c r="E29" s="212"/>
    </row>
    <row r="30" spans="1:5" ht="30" x14ac:dyDescent="0.25">
      <c r="A30" s="91" t="s">
        <v>127</v>
      </c>
      <c r="B30" s="92" t="s">
        <v>128</v>
      </c>
      <c r="C30" s="93" t="s">
        <v>122</v>
      </c>
      <c r="D30" s="94"/>
      <c r="E30" s="95" t="s">
        <v>104</v>
      </c>
    </row>
    <row r="31" spans="1:5" x14ac:dyDescent="0.25">
      <c r="A31" s="83" t="s">
        <v>92</v>
      </c>
      <c r="B31" s="96" t="s">
        <v>129</v>
      </c>
      <c r="C31" s="85">
        <f t="shared" ref="C31:C38" si="0">E$23+E$28</f>
        <v>2800.2999782333331</v>
      </c>
      <c r="D31" s="86">
        <v>0.2</v>
      </c>
      <c r="E31" s="87">
        <f t="shared" ref="E31:E38" si="1">C31*D31</f>
        <v>560.05999564666661</v>
      </c>
    </row>
    <row r="32" spans="1:5" x14ac:dyDescent="0.25">
      <c r="A32" s="83" t="s">
        <v>94</v>
      </c>
      <c r="B32" s="96" t="s">
        <v>130</v>
      </c>
      <c r="C32" s="85">
        <f t="shared" si="0"/>
        <v>2800.2999782333331</v>
      </c>
      <c r="D32" s="97">
        <v>2.5000000000000001E-2</v>
      </c>
      <c r="E32" s="87">
        <f t="shared" si="1"/>
        <v>70.007499455833326</v>
      </c>
    </row>
    <row r="33" spans="1:5" ht="45" x14ac:dyDescent="0.25">
      <c r="A33" s="83" t="s">
        <v>96</v>
      </c>
      <c r="B33" s="98" t="s">
        <v>131</v>
      </c>
      <c r="C33" s="85">
        <f t="shared" si="0"/>
        <v>2800.2999782333331</v>
      </c>
      <c r="D33" s="97">
        <v>0.06</v>
      </c>
      <c r="E33" s="87">
        <f t="shared" si="1"/>
        <v>168.01799869399997</v>
      </c>
    </row>
    <row r="34" spans="1:5" x14ac:dyDescent="0.25">
      <c r="A34" s="83" t="s">
        <v>116</v>
      </c>
      <c r="B34" s="96" t="s">
        <v>132</v>
      </c>
      <c r="C34" s="85">
        <f t="shared" si="0"/>
        <v>2800.2999782333331</v>
      </c>
      <c r="D34" s="97">
        <v>1.4999999999999999E-2</v>
      </c>
      <c r="E34" s="87">
        <f t="shared" si="1"/>
        <v>42.004499673499993</v>
      </c>
    </row>
    <row r="35" spans="1:5" x14ac:dyDescent="0.25">
      <c r="A35" s="83" t="s">
        <v>133</v>
      </c>
      <c r="B35" s="96" t="s">
        <v>134</v>
      </c>
      <c r="C35" s="85">
        <f t="shared" si="0"/>
        <v>2800.2999782333331</v>
      </c>
      <c r="D35" s="97">
        <v>0.01</v>
      </c>
      <c r="E35" s="87">
        <f t="shared" si="1"/>
        <v>28.002999782333333</v>
      </c>
    </row>
    <row r="36" spans="1:5" x14ac:dyDescent="0.25">
      <c r="A36" s="83" t="s">
        <v>135</v>
      </c>
      <c r="B36" s="99" t="s">
        <v>136</v>
      </c>
      <c r="C36" s="85">
        <f t="shared" si="0"/>
        <v>2800.2999782333331</v>
      </c>
      <c r="D36" s="97">
        <v>6.0000000000000001E-3</v>
      </c>
      <c r="E36" s="87">
        <f t="shared" si="1"/>
        <v>16.8017998694</v>
      </c>
    </row>
    <row r="37" spans="1:5" ht="30" x14ac:dyDescent="0.25">
      <c r="A37" s="83" t="s">
        <v>137</v>
      </c>
      <c r="B37" s="98" t="s">
        <v>138</v>
      </c>
      <c r="C37" s="85">
        <f t="shared" si="0"/>
        <v>2800.2999782333331</v>
      </c>
      <c r="D37" s="97">
        <v>2E-3</v>
      </c>
      <c r="E37" s="87">
        <f t="shared" si="1"/>
        <v>5.6005999564666666</v>
      </c>
    </row>
    <row r="38" spans="1:5" x14ac:dyDescent="0.25">
      <c r="A38" s="83" t="s">
        <v>139</v>
      </c>
      <c r="B38" s="96" t="s">
        <v>140</v>
      </c>
      <c r="C38" s="85">
        <f t="shared" si="0"/>
        <v>2800.2999782333331</v>
      </c>
      <c r="D38" s="97">
        <v>0.08</v>
      </c>
      <c r="E38" s="87">
        <f t="shared" si="1"/>
        <v>224.02399825866667</v>
      </c>
    </row>
    <row r="39" spans="1:5" ht="15.75" customHeight="1" x14ac:dyDescent="0.25">
      <c r="A39" s="208" t="s">
        <v>125</v>
      </c>
      <c r="B39" s="208"/>
      <c r="C39" s="208"/>
      <c r="D39" s="100">
        <f>SUM(D31:D38)</f>
        <v>0.39800000000000008</v>
      </c>
      <c r="E39" s="90">
        <f>SUM(E31:E38)</f>
        <v>1114.5193913368666</v>
      </c>
    </row>
    <row r="40" spans="1:5" x14ac:dyDescent="0.25">
      <c r="A40" s="209" t="s">
        <v>141</v>
      </c>
      <c r="B40" s="209"/>
      <c r="C40" s="209"/>
      <c r="D40" s="209"/>
      <c r="E40" s="209"/>
    </row>
    <row r="41" spans="1:5" ht="30" x14ac:dyDescent="0.25">
      <c r="A41" s="101" t="s">
        <v>142</v>
      </c>
      <c r="B41" s="102" t="s">
        <v>143</v>
      </c>
      <c r="C41" s="80" t="s">
        <v>122</v>
      </c>
      <c r="D41" s="81"/>
      <c r="E41" s="82" t="s">
        <v>104</v>
      </c>
    </row>
    <row r="42" spans="1:5" ht="15.75" customHeight="1" x14ac:dyDescent="0.25">
      <c r="A42" s="103" t="s">
        <v>92</v>
      </c>
      <c r="B42" s="104" t="s">
        <v>144</v>
      </c>
      <c r="C42" s="105">
        <v>3</v>
      </c>
      <c r="D42" s="104"/>
      <c r="E42" s="106">
        <f>(C13*0.06)-(32*C42)</f>
        <v>12.205799999999996</v>
      </c>
    </row>
    <row r="43" spans="1:5" ht="15.75" customHeight="1" x14ac:dyDescent="0.25">
      <c r="A43" s="83" t="s">
        <v>94</v>
      </c>
      <c r="B43" s="84" t="s">
        <v>145</v>
      </c>
      <c r="C43" s="107">
        <v>44</v>
      </c>
      <c r="D43" s="108"/>
      <c r="E43" s="87">
        <f>(C43*15.21)-((C43*15.21)*1%)</f>
        <v>662.54759999999999</v>
      </c>
    </row>
    <row r="44" spans="1:5" ht="15.75" customHeight="1" x14ac:dyDescent="0.25">
      <c r="A44" s="83" t="s">
        <v>96</v>
      </c>
      <c r="B44" s="84" t="s">
        <v>146</v>
      </c>
      <c r="C44" s="107">
        <f>C13*(16-1)/100</f>
        <v>270.5145</v>
      </c>
      <c r="D44" s="108"/>
      <c r="E44" s="87">
        <f>C44/12</f>
        <v>22.542874999999999</v>
      </c>
    </row>
    <row r="45" spans="1:5" ht="15.75" customHeight="1" x14ac:dyDescent="0.25">
      <c r="A45" s="83" t="s">
        <v>116</v>
      </c>
      <c r="B45" s="109" t="s">
        <v>147</v>
      </c>
      <c r="C45" s="107">
        <v>15.06</v>
      </c>
      <c r="D45" s="108"/>
      <c r="E45" s="87">
        <f>C45</f>
        <v>15.06</v>
      </c>
    </row>
    <row r="46" spans="1:5" ht="15.75" customHeight="1" x14ac:dyDescent="0.25">
      <c r="A46" s="83" t="s">
        <v>133</v>
      </c>
      <c r="B46" s="84" t="s">
        <v>148</v>
      </c>
      <c r="C46" s="107"/>
      <c r="D46" s="108"/>
      <c r="E46" s="87">
        <f>(((E18+E22)*26)+((E18)*5))/1000*0.21</f>
        <v>14.694347639999997</v>
      </c>
    </row>
    <row r="47" spans="1:5" ht="15.75" customHeight="1" x14ac:dyDescent="0.25">
      <c r="A47" s="208" t="s">
        <v>149</v>
      </c>
      <c r="B47" s="208"/>
      <c r="C47" s="208"/>
      <c r="D47" s="208"/>
      <c r="E47" s="90">
        <f>SUM(E42:E46)</f>
        <v>727.05062263999992</v>
      </c>
    </row>
    <row r="48" spans="1:5" ht="15.75" customHeight="1" x14ac:dyDescent="0.25">
      <c r="A48" s="209" t="s">
        <v>150</v>
      </c>
      <c r="B48" s="209"/>
      <c r="C48" s="209"/>
      <c r="D48" s="209"/>
      <c r="E48" s="209"/>
    </row>
    <row r="49" spans="1:5" ht="15.75" customHeight="1" x14ac:dyDescent="0.25">
      <c r="A49" s="64" t="s">
        <v>120</v>
      </c>
      <c r="B49" s="110" t="s">
        <v>151</v>
      </c>
      <c r="C49" s="111"/>
      <c r="D49" s="111"/>
      <c r="E49" s="112">
        <f>E28</f>
        <v>455.84097823333332</v>
      </c>
    </row>
    <row r="50" spans="1:5" ht="15.75" customHeight="1" x14ac:dyDescent="0.25">
      <c r="A50" s="64" t="s">
        <v>127</v>
      </c>
      <c r="B50" s="110" t="s">
        <v>152</v>
      </c>
      <c r="C50" s="111"/>
      <c r="D50" s="111"/>
      <c r="E50" s="112">
        <f>E39</f>
        <v>1114.5193913368666</v>
      </c>
    </row>
    <row r="51" spans="1:5" ht="15.75" customHeight="1" x14ac:dyDescent="0.25">
      <c r="A51" s="64" t="s">
        <v>142</v>
      </c>
      <c r="B51" s="110" t="s">
        <v>153</v>
      </c>
      <c r="C51" s="111"/>
      <c r="D51" s="111"/>
      <c r="E51" s="112">
        <f>E47</f>
        <v>727.05062263999992</v>
      </c>
    </row>
    <row r="52" spans="1:5" ht="15.75" customHeight="1" x14ac:dyDescent="0.25">
      <c r="A52" s="204" t="s">
        <v>154</v>
      </c>
      <c r="B52" s="204"/>
      <c r="C52" s="204"/>
      <c r="D52" s="204"/>
      <c r="E52" s="77">
        <f>SUM(E49:E51)</f>
        <v>2297.4109922101998</v>
      </c>
    </row>
    <row r="53" spans="1:5" ht="15.75" customHeight="1" x14ac:dyDescent="0.25">
      <c r="A53" s="205" t="s">
        <v>155</v>
      </c>
      <c r="B53" s="205"/>
      <c r="C53" s="205"/>
      <c r="D53" s="205"/>
      <c r="E53" s="205"/>
    </row>
    <row r="54" spans="1:5" ht="30" customHeight="1" x14ac:dyDescent="0.25">
      <c r="A54" s="91" t="s">
        <v>156</v>
      </c>
      <c r="B54" s="113" t="s">
        <v>157</v>
      </c>
      <c r="C54" s="114" t="s">
        <v>122</v>
      </c>
      <c r="D54" s="115"/>
      <c r="E54" s="95" t="s">
        <v>104</v>
      </c>
    </row>
    <row r="55" spans="1:5" ht="15.75" customHeight="1" x14ac:dyDescent="0.25">
      <c r="A55" s="83" t="s">
        <v>92</v>
      </c>
      <c r="B55" s="84" t="s">
        <v>158</v>
      </c>
      <c r="C55" s="85">
        <f>E$23+E28</f>
        <v>2800.2999782333331</v>
      </c>
      <c r="D55" s="86">
        <f>100%*(1/12)*5.55%</f>
        <v>4.6249999999999998E-3</v>
      </c>
      <c r="E55" s="87">
        <f>C55*D55</f>
        <v>12.951387399329166</v>
      </c>
    </row>
    <row r="56" spans="1:5" ht="15.75" customHeight="1" x14ac:dyDescent="0.25">
      <c r="A56" s="116" t="s">
        <v>94</v>
      </c>
      <c r="B56" s="117" t="s">
        <v>159</v>
      </c>
      <c r="C56" s="85">
        <f>E$23+E28</f>
        <v>2800.2999782333331</v>
      </c>
      <c r="D56" s="74">
        <v>4.0000000000000002E-4</v>
      </c>
      <c r="E56" s="73">
        <f>C56*D56</f>
        <v>1.1201199912933333</v>
      </c>
    </row>
    <row r="57" spans="1:5" ht="15.75" customHeight="1" x14ac:dyDescent="0.25">
      <c r="A57" s="83" t="s">
        <v>96</v>
      </c>
      <c r="B57" s="84" t="s">
        <v>160</v>
      </c>
      <c r="C57" s="85">
        <f>E$23+E28</f>
        <v>2800.2999782333331</v>
      </c>
      <c r="D57" s="86">
        <v>1.9400000000000001E-2</v>
      </c>
      <c r="E57" s="87">
        <f>C57*D57</f>
        <v>54.325819577726662</v>
      </c>
    </row>
    <row r="58" spans="1:5" ht="30" customHeight="1" x14ac:dyDescent="0.25">
      <c r="A58" s="83" t="s">
        <v>116</v>
      </c>
      <c r="B58" s="118" t="s">
        <v>161</v>
      </c>
      <c r="C58" s="85">
        <f>E$23+E28</f>
        <v>2800.2999782333331</v>
      </c>
      <c r="D58" s="86">
        <f>D39*D57</f>
        <v>7.7212000000000018E-3</v>
      </c>
      <c r="E58" s="87">
        <f>C58*D58</f>
        <v>21.621676191935219</v>
      </c>
    </row>
    <row r="59" spans="1:5" ht="32.25" customHeight="1" x14ac:dyDescent="0.25">
      <c r="A59" s="83" t="s">
        <v>133</v>
      </c>
      <c r="B59" s="84" t="s">
        <v>162</v>
      </c>
      <c r="C59" s="85">
        <f>E$23+E28</f>
        <v>2800.2999782333331</v>
      </c>
      <c r="D59" s="86">
        <v>0.04</v>
      </c>
      <c r="E59" s="87">
        <f>C59*D59</f>
        <v>112.01199912933333</v>
      </c>
    </row>
    <row r="60" spans="1:5" ht="15.75" customHeight="1" x14ac:dyDescent="0.25">
      <c r="A60" s="211" t="s">
        <v>163</v>
      </c>
      <c r="B60" s="211"/>
      <c r="C60" s="211"/>
      <c r="D60" s="119">
        <f>SUM(D55:D59)</f>
        <v>7.2146200000000008E-2</v>
      </c>
      <c r="E60" s="120">
        <f>SUM(E55:E59)</f>
        <v>202.03100228961773</v>
      </c>
    </row>
    <row r="61" spans="1:5" ht="15.75" customHeight="1" x14ac:dyDescent="0.25">
      <c r="A61" s="205" t="s">
        <v>164</v>
      </c>
      <c r="B61" s="205"/>
      <c r="C61" s="205"/>
      <c r="D61" s="205"/>
      <c r="E61" s="205"/>
    </row>
    <row r="62" spans="1:5" ht="30" x14ac:dyDescent="0.25">
      <c r="A62" s="91" t="s">
        <v>165</v>
      </c>
      <c r="B62" s="121" t="s">
        <v>166</v>
      </c>
      <c r="C62" s="114" t="s">
        <v>122</v>
      </c>
      <c r="D62" s="122"/>
      <c r="E62" s="95" t="s">
        <v>104</v>
      </c>
    </row>
    <row r="63" spans="1:5" x14ac:dyDescent="0.25">
      <c r="A63" s="83" t="s">
        <v>92</v>
      </c>
      <c r="B63" s="84" t="s">
        <v>167</v>
      </c>
      <c r="C63" s="123">
        <f>E$23+E$52+E$60+E84</f>
        <v>4914.6099528331506</v>
      </c>
      <c r="D63" s="86">
        <f>D27/12</f>
        <v>9.2583333333333337E-3</v>
      </c>
      <c r="E63" s="87">
        <f t="shared" ref="E63:E69" si="2">C63*D63</f>
        <v>45.50109714664692</v>
      </c>
    </row>
    <row r="64" spans="1:5" x14ac:dyDescent="0.25">
      <c r="A64" s="83" t="s">
        <v>94</v>
      </c>
      <c r="B64" s="84" t="s">
        <v>168</v>
      </c>
      <c r="C64" s="123">
        <f>E$23+E$52+E$60+E84</f>
        <v>4914.6099528331506</v>
      </c>
      <c r="D64" s="86">
        <v>1.3899999999999999E-2</v>
      </c>
      <c r="E64" s="87">
        <f t="shared" si="2"/>
        <v>68.313078344380784</v>
      </c>
    </row>
    <row r="65" spans="1:5" x14ac:dyDescent="0.25">
      <c r="A65" s="83" t="s">
        <v>96</v>
      </c>
      <c r="B65" s="84" t="s">
        <v>169</v>
      </c>
      <c r="C65" s="123">
        <f>E$23+E$52+E$60+E84</f>
        <v>4914.6099528331506</v>
      </c>
      <c r="D65" s="86">
        <v>1.2999999999999999E-3</v>
      </c>
      <c r="E65" s="87">
        <f t="shared" si="2"/>
        <v>6.3889929386830957</v>
      </c>
    </row>
    <row r="66" spans="1:5" x14ac:dyDescent="0.25">
      <c r="A66" s="83" t="s">
        <v>116</v>
      </c>
      <c r="B66" s="84" t="s">
        <v>170</v>
      </c>
      <c r="C66" s="123">
        <f>E$23+E$52+E$60+E84</f>
        <v>4914.6099528331506</v>
      </c>
      <c r="D66" s="86">
        <v>2.0000000000000001E-4</v>
      </c>
      <c r="E66" s="87">
        <f t="shared" si="2"/>
        <v>0.98292199056663021</v>
      </c>
    </row>
    <row r="67" spans="1:5" x14ac:dyDescent="0.25">
      <c r="A67" s="83" t="s">
        <v>133</v>
      </c>
      <c r="B67" s="84" t="s">
        <v>171</v>
      </c>
      <c r="C67" s="123">
        <f>E$23+E$52+E$60+E84</f>
        <v>4914.6099528331506</v>
      </c>
      <c r="D67" s="86">
        <v>2.8E-3</v>
      </c>
      <c r="E67" s="87">
        <f t="shared" si="2"/>
        <v>13.760907867932822</v>
      </c>
    </row>
    <row r="68" spans="1:5" x14ac:dyDescent="0.25">
      <c r="A68" s="83" t="s">
        <v>135</v>
      </c>
      <c r="B68" s="84" t="s">
        <v>172</v>
      </c>
      <c r="C68" s="123">
        <f>E$23+E$52+E$60+E84</f>
        <v>4914.6099528331506</v>
      </c>
      <c r="D68" s="86">
        <v>2.9999999999999997E-4</v>
      </c>
      <c r="E68" s="87">
        <f t="shared" si="2"/>
        <v>1.4743829858499451</v>
      </c>
    </row>
    <row r="69" spans="1:5" x14ac:dyDescent="0.25">
      <c r="A69" s="83" t="s">
        <v>137</v>
      </c>
      <c r="B69" s="124" t="s">
        <v>173</v>
      </c>
      <c r="C69" s="123">
        <f>E$23+E$52+E$60+E84</f>
        <v>4914.6099528331506</v>
      </c>
      <c r="D69" s="86">
        <v>0</v>
      </c>
      <c r="E69" s="87">
        <f t="shared" si="2"/>
        <v>0</v>
      </c>
    </row>
    <row r="70" spans="1:5" ht="15.75" customHeight="1" x14ac:dyDescent="0.25">
      <c r="A70" s="208" t="s">
        <v>174</v>
      </c>
      <c r="B70" s="208"/>
      <c r="C70" s="208"/>
      <c r="D70" s="125">
        <f>SUM(D63:D69)</f>
        <v>2.7758333333333333E-2</v>
      </c>
      <c r="E70" s="90">
        <f>SUM(E63:E69)</f>
        <v>136.4213812740602</v>
      </c>
    </row>
    <row r="71" spans="1:5" ht="15.75" customHeight="1" x14ac:dyDescent="0.25">
      <c r="A71" s="209" t="s">
        <v>175</v>
      </c>
      <c r="B71" s="209"/>
      <c r="C71" s="209"/>
      <c r="D71" s="209"/>
      <c r="E71" s="209"/>
    </row>
    <row r="72" spans="1:5" x14ac:dyDescent="0.25">
      <c r="A72" s="91"/>
      <c r="B72" s="92" t="s">
        <v>175</v>
      </c>
      <c r="C72" s="118"/>
      <c r="D72" s="118"/>
      <c r="E72" s="95" t="s">
        <v>104</v>
      </c>
    </row>
    <row r="73" spans="1:5" x14ac:dyDescent="0.25">
      <c r="A73" s="116" t="s">
        <v>92</v>
      </c>
      <c r="B73" s="126" t="s">
        <v>176</v>
      </c>
      <c r="C73" s="67"/>
      <c r="D73" s="74"/>
      <c r="E73" s="73">
        <f>(7.71*1.5)*(15.21)</f>
        <v>175.90365</v>
      </c>
    </row>
    <row r="74" spans="1:5" x14ac:dyDescent="0.25">
      <c r="A74" s="116" t="s">
        <v>94</v>
      </c>
      <c r="B74" s="126" t="s">
        <v>177</v>
      </c>
      <c r="C74" s="67"/>
      <c r="D74" s="74">
        <f>D39</f>
        <v>0.39800000000000008</v>
      </c>
      <c r="E74" s="73">
        <f>E73*D74</f>
        <v>70.009652700000018</v>
      </c>
    </row>
    <row r="75" spans="1:5" ht="15.75" customHeight="1" x14ac:dyDescent="0.25">
      <c r="A75" s="208" t="s">
        <v>178</v>
      </c>
      <c r="B75" s="208"/>
      <c r="C75" s="208"/>
      <c r="D75" s="89">
        <f>D74</f>
        <v>0.39800000000000008</v>
      </c>
      <c r="E75" s="90">
        <f>SUM(E73:E74)</f>
        <v>245.91330270000003</v>
      </c>
    </row>
    <row r="76" spans="1:5" ht="15.75" customHeight="1" x14ac:dyDescent="0.25">
      <c r="A76" s="210" t="s">
        <v>179</v>
      </c>
      <c r="B76" s="210"/>
      <c r="C76" s="210"/>
      <c r="D76" s="210"/>
      <c r="E76" s="210"/>
    </row>
    <row r="77" spans="1:5" ht="15.75" customHeight="1" x14ac:dyDescent="0.25">
      <c r="A77" s="91">
        <v>4</v>
      </c>
      <c r="B77" s="127" t="s">
        <v>180</v>
      </c>
      <c r="C77" s="128"/>
      <c r="D77" s="71"/>
      <c r="E77" s="95" t="s">
        <v>104</v>
      </c>
    </row>
    <row r="78" spans="1:5" ht="15.75" customHeight="1" x14ac:dyDescent="0.25">
      <c r="A78" s="83" t="s">
        <v>165</v>
      </c>
      <c r="B78" s="84" t="s">
        <v>166</v>
      </c>
      <c r="C78" s="128"/>
      <c r="D78" s="86">
        <f>D70</f>
        <v>2.7758333333333333E-2</v>
      </c>
      <c r="E78" s="87">
        <f>E70</f>
        <v>136.4213812740602</v>
      </c>
    </row>
    <row r="79" spans="1:5" ht="15.75" customHeight="1" x14ac:dyDescent="0.25">
      <c r="A79" s="83" t="s">
        <v>181</v>
      </c>
      <c r="B79" s="84" t="s">
        <v>175</v>
      </c>
      <c r="C79" s="128"/>
      <c r="D79" s="86"/>
      <c r="E79" s="87">
        <f>E75</f>
        <v>245.91330270000003</v>
      </c>
    </row>
    <row r="80" spans="1:5" ht="15.75" customHeight="1" x14ac:dyDescent="0.25">
      <c r="A80" s="208" t="s">
        <v>125</v>
      </c>
      <c r="B80" s="208"/>
      <c r="C80" s="208"/>
      <c r="D80" s="89">
        <f>SUM(D78:D79)</f>
        <v>2.7758333333333333E-2</v>
      </c>
      <c r="E80" s="90">
        <f>SUM(E78:E79)</f>
        <v>382.33468397406023</v>
      </c>
    </row>
    <row r="81" spans="1:5" ht="15.75" customHeight="1" x14ac:dyDescent="0.25">
      <c r="A81" s="204" t="s">
        <v>182</v>
      </c>
      <c r="B81" s="204"/>
      <c r="C81" s="204"/>
      <c r="D81" s="204"/>
      <c r="E81" s="129">
        <f>SUM(E70+E75)</f>
        <v>382.33468397406023</v>
      </c>
    </row>
    <row r="82" spans="1:5" ht="15.75" customHeight="1" x14ac:dyDescent="0.25">
      <c r="A82" s="205" t="s">
        <v>183</v>
      </c>
      <c r="B82" s="205"/>
      <c r="C82" s="205"/>
      <c r="D82" s="205"/>
      <c r="E82" s="205"/>
    </row>
    <row r="83" spans="1:5" ht="15.75" customHeight="1" x14ac:dyDescent="0.25">
      <c r="A83" s="91">
        <v>5</v>
      </c>
      <c r="B83" s="113" t="s">
        <v>184</v>
      </c>
      <c r="C83" s="118"/>
      <c r="D83" s="118"/>
      <c r="E83" s="95" t="s">
        <v>104</v>
      </c>
    </row>
    <row r="84" spans="1:5" ht="15.75" customHeight="1" x14ac:dyDescent="0.25">
      <c r="A84" s="116" t="s">
        <v>92</v>
      </c>
      <c r="B84" s="117" t="s">
        <v>185</v>
      </c>
      <c r="C84" s="130"/>
      <c r="D84" s="131"/>
      <c r="E84" s="87">
        <f>'Uniformes '!H16</f>
        <v>70.708958333333328</v>
      </c>
    </row>
    <row r="85" spans="1:5" ht="15.75" customHeight="1" x14ac:dyDescent="0.25">
      <c r="A85" s="116" t="s">
        <v>94</v>
      </c>
      <c r="B85" s="117" t="s">
        <v>186</v>
      </c>
      <c r="C85" s="130"/>
      <c r="D85" s="131"/>
      <c r="E85" s="87">
        <f>Insumos!H20</f>
        <v>276.26906250000002</v>
      </c>
    </row>
    <row r="86" spans="1:5" ht="15.75" customHeight="1" x14ac:dyDescent="0.25">
      <c r="A86" s="116" t="s">
        <v>96</v>
      </c>
      <c r="B86" s="117" t="s">
        <v>187</v>
      </c>
      <c r="C86" s="130"/>
      <c r="D86" s="131"/>
      <c r="E86" s="87">
        <v>0</v>
      </c>
    </row>
    <row r="87" spans="1:5" ht="15.75" customHeight="1" x14ac:dyDescent="0.25">
      <c r="A87" s="116" t="s">
        <v>116</v>
      </c>
      <c r="B87" s="117" t="s">
        <v>188</v>
      </c>
      <c r="C87" s="130"/>
      <c r="D87" s="131"/>
      <c r="E87" s="87">
        <v>33.869999999999997</v>
      </c>
    </row>
    <row r="88" spans="1:5" ht="15.75" customHeight="1" x14ac:dyDescent="0.25">
      <c r="A88" s="206" t="s">
        <v>189</v>
      </c>
      <c r="B88" s="206"/>
      <c r="C88" s="206"/>
      <c r="D88" s="206"/>
      <c r="E88" s="77">
        <f>SUM(E84:E87)</f>
        <v>380.84802083333335</v>
      </c>
    </row>
    <row r="89" spans="1:5" ht="23.25" customHeight="1" x14ac:dyDescent="0.25">
      <c r="A89" s="207" t="s">
        <v>190</v>
      </c>
      <c r="B89" s="207"/>
      <c r="C89" s="207"/>
      <c r="D89" s="207"/>
      <c r="E89" s="132">
        <f>E88+E81+E60+E52+E23</f>
        <v>5607.0836993072107</v>
      </c>
    </row>
    <row r="90" spans="1:5" ht="19.5" customHeight="1" x14ac:dyDescent="0.25">
      <c r="A90" s="205" t="s">
        <v>191</v>
      </c>
      <c r="B90" s="205"/>
      <c r="C90" s="205"/>
      <c r="D90" s="205"/>
      <c r="E90" s="205"/>
    </row>
    <row r="91" spans="1:5" ht="30" x14ac:dyDescent="0.25">
      <c r="A91" s="91">
        <v>6</v>
      </c>
      <c r="B91" s="113" t="s">
        <v>192</v>
      </c>
      <c r="C91" s="93" t="s">
        <v>122</v>
      </c>
      <c r="D91" s="93"/>
      <c r="E91" s="95" t="s">
        <v>104</v>
      </c>
    </row>
    <row r="92" spans="1:5" x14ac:dyDescent="0.25">
      <c r="A92" s="83" t="s">
        <v>92</v>
      </c>
      <c r="B92" s="84" t="s">
        <v>193</v>
      </c>
      <c r="C92" s="133">
        <f>E89</f>
        <v>5607.0836993072107</v>
      </c>
      <c r="D92" s="86">
        <v>0.05</v>
      </c>
      <c r="E92" s="87">
        <f>C92*D92</f>
        <v>280.35418496536056</v>
      </c>
    </row>
    <row r="93" spans="1:5" x14ac:dyDescent="0.25">
      <c r="A93" s="83" t="s">
        <v>94</v>
      </c>
      <c r="B93" s="84" t="s">
        <v>194</v>
      </c>
      <c r="C93" s="133">
        <f>E89+E92</f>
        <v>5887.437884272571</v>
      </c>
      <c r="D93" s="86">
        <v>0.1</v>
      </c>
      <c r="E93" s="87">
        <f>D93*C93</f>
        <v>588.74378842725707</v>
      </c>
    </row>
    <row r="94" spans="1:5" ht="30.75" customHeight="1" x14ac:dyDescent="0.25">
      <c r="A94" s="83"/>
      <c r="B94" s="134" t="s">
        <v>195</v>
      </c>
      <c r="C94" s="84"/>
      <c r="D94" s="86">
        <f>1-D101</f>
        <v>0.91349999999999998</v>
      </c>
      <c r="E94" s="87">
        <f>+E89+E92+E93</f>
        <v>6476.1816726998277</v>
      </c>
    </row>
    <row r="95" spans="1:5" x14ac:dyDescent="0.25">
      <c r="A95" s="83"/>
      <c r="B95" s="135"/>
      <c r="C95" s="136"/>
      <c r="D95" s="137"/>
      <c r="E95" s="138">
        <f>+E94/D94</f>
        <v>7089.4161715378523</v>
      </c>
    </row>
    <row r="96" spans="1:5" x14ac:dyDescent="0.25">
      <c r="A96" s="83" t="s">
        <v>96</v>
      </c>
      <c r="B96" s="124" t="s">
        <v>196</v>
      </c>
      <c r="C96" s="136"/>
      <c r="D96" s="139">
        <f>D98+D99+D100</f>
        <v>8.6499999999999994E-2</v>
      </c>
      <c r="E96" s="138"/>
    </row>
    <row r="97" spans="1:5" x14ac:dyDescent="0.25">
      <c r="A97" s="83" t="s">
        <v>197</v>
      </c>
      <c r="B97" s="124" t="s">
        <v>198</v>
      </c>
      <c r="C97" s="124"/>
      <c r="D97" s="140">
        <f>D98+D99</f>
        <v>3.6499999999999998E-2</v>
      </c>
      <c r="E97" s="87"/>
    </row>
    <row r="98" spans="1:5" x14ac:dyDescent="0.25">
      <c r="A98" s="83" t="s">
        <v>199</v>
      </c>
      <c r="B98" s="84" t="s">
        <v>200</v>
      </c>
      <c r="C98" s="107">
        <f>E95</f>
        <v>7089.4161715378523</v>
      </c>
      <c r="D98" s="86">
        <v>6.4999999999999997E-3</v>
      </c>
      <c r="E98" s="87">
        <f>C98*D98</f>
        <v>46.081205114996038</v>
      </c>
    </row>
    <row r="99" spans="1:5" x14ac:dyDescent="0.25">
      <c r="A99" s="83" t="s">
        <v>201</v>
      </c>
      <c r="B99" s="84" t="s">
        <v>202</v>
      </c>
      <c r="C99" s="107">
        <f>E95</f>
        <v>7089.4161715378523</v>
      </c>
      <c r="D99" s="86">
        <v>0.03</v>
      </c>
      <c r="E99" s="87">
        <f>C99*D99</f>
        <v>212.68248514613555</v>
      </c>
    </row>
    <row r="100" spans="1:5" x14ac:dyDescent="0.25">
      <c r="A100" s="141" t="s">
        <v>203</v>
      </c>
      <c r="B100" s="142" t="s">
        <v>204</v>
      </c>
      <c r="C100" s="143">
        <f>E95</f>
        <v>7089.4161715378523</v>
      </c>
      <c r="D100" s="144">
        <v>0.05</v>
      </c>
      <c r="E100" s="145">
        <f>C100*D100</f>
        <v>354.47080857689264</v>
      </c>
    </row>
    <row r="101" spans="1:5" x14ac:dyDescent="0.25">
      <c r="A101" s="146"/>
      <c r="B101" s="201" t="s">
        <v>205</v>
      </c>
      <c r="C101" s="201"/>
      <c r="D101" s="147">
        <f>D96</f>
        <v>8.6499999999999994E-2</v>
      </c>
      <c r="E101" s="148">
        <f>SUM(E98:E100)</f>
        <v>613.23449883802425</v>
      </c>
    </row>
    <row r="102" spans="1:5" ht="15.75" customHeight="1" x14ac:dyDescent="0.25">
      <c r="A102" s="202" t="s">
        <v>206</v>
      </c>
      <c r="B102" s="202"/>
      <c r="C102" s="202"/>
      <c r="D102" s="202"/>
      <c r="E102" s="149">
        <f>+E92+E93+E101</f>
        <v>1482.332472230642</v>
      </c>
    </row>
    <row r="103" spans="1:5" ht="15.75" customHeight="1" x14ac:dyDescent="0.25">
      <c r="A103" s="203" t="s">
        <v>207</v>
      </c>
      <c r="B103" s="203"/>
      <c r="C103" s="203"/>
      <c r="D103" s="203"/>
      <c r="E103" s="150" t="s">
        <v>104</v>
      </c>
    </row>
    <row r="104" spans="1:5" ht="15.75" customHeight="1" x14ac:dyDescent="0.25">
      <c r="A104" s="83" t="s">
        <v>92</v>
      </c>
      <c r="B104" s="199" t="s">
        <v>208</v>
      </c>
      <c r="C104" s="199"/>
      <c r="D104" s="199"/>
      <c r="E104" s="87">
        <f>+E23</f>
        <v>2344.4589999999998</v>
      </c>
    </row>
    <row r="105" spans="1:5" ht="15.75" customHeight="1" x14ac:dyDescent="0.25">
      <c r="A105" s="83" t="s">
        <v>94</v>
      </c>
      <c r="B105" s="199" t="s">
        <v>209</v>
      </c>
      <c r="C105" s="199"/>
      <c r="D105" s="199"/>
      <c r="E105" s="87">
        <f>+E52</f>
        <v>2297.4109922101998</v>
      </c>
    </row>
    <row r="106" spans="1:5" ht="15.75" customHeight="1" x14ac:dyDescent="0.25">
      <c r="A106" s="83" t="s">
        <v>96</v>
      </c>
      <c r="B106" s="199" t="s">
        <v>210</v>
      </c>
      <c r="C106" s="199"/>
      <c r="D106" s="199"/>
      <c r="E106" s="87">
        <f>E60</f>
        <v>202.03100228961773</v>
      </c>
    </row>
    <row r="107" spans="1:5" ht="15.75" customHeight="1" x14ac:dyDescent="0.25">
      <c r="A107" s="83" t="s">
        <v>116</v>
      </c>
      <c r="B107" s="199" t="s">
        <v>211</v>
      </c>
      <c r="C107" s="199"/>
      <c r="D107" s="199"/>
      <c r="E107" s="87">
        <f>E81</f>
        <v>382.33468397406023</v>
      </c>
    </row>
    <row r="108" spans="1:5" ht="15.75" customHeight="1" x14ac:dyDescent="0.25">
      <c r="A108" s="83" t="s">
        <v>133</v>
      </c>
      <c r="B108" s="199" t="s">
        <v>212</v>
      </c>
      <c r="C108" s="199"/>
      <c r="D108" s="199"/>
      <c r="E108" s="87">
        <f>E88</f>
        <v>380.84802083333335</v>
      </c>
    </row>
    <row r="109" spans="1:5" ht="15.75" customHeight="1" x14ac:dyDescent="0.25">
      <c r="A109" s="200" t="s">
        <v>213</v>
      </c>
      <c r="B109" s="200"/>
      <c r="C109" s="200"/>
      <c r="D109" s="200"/>
      <c r="E109" s="151">
        <f>SUM(E104:E108)</f>
        <v>5607.0836993072098</v>
      </c>
    </row>
    <row r="110" spans="1:5" ht="15.75" customHeight="1" x14ac:dyDescent="0.25">
      <c r="A110" s="83" t="s">
        <v>135</v>
      </c>
      <c r="B110" s="199" t="s">
        <v>214</v>
      </c>
      <c r="C110" s="199"/>
      <c r="D110" s="199"/>
      <c r="E110" s="87">
        <f>+E102</f>
        <v>1482.332472230642</v>
      </c>
    </row>
    <row r="111" spans="1:5" ht="16.5" customHeight="1" x14ac:dyDescent="0.25">
      <c r="A111" s="196" t="s">
        <v>215</v>
      </c>
      <c r="B111" s="196"/>
      <c r="C111" s="196"/>
      <c r="D111" s="196"/>
      <c r="E111" s="152">
        <f>+E109+E110</f>
        <v>7089.4161715378523</v>
      </c>
    </row>
    <row r="112" spans="1:5" x14ac:dyDescent="0.25">
      <c r="A112" s="197"/>
      <c r="B112" s="197"/>
      <c r="C112" s="197"/>
      <c r="D112" s="197"/>
      <c r="E112" s="197"/>
    </row>
    <row r="113" spans="1:5" ht="16.5" customHeight="1" x14ac:dyDescent="0.25">
      <c r="A113" s="198" t="s">
        <v>216</v>
      </c>
      <c r="B113" s="198"/>
      <c r="C113" s="198"/>
      <c r="D113" s="198"/>
      <c r="E113" s="153">
        <f>E111*2</f>
        <v>14178.832343075705</v>
      </c>
    </row>
    <row r="118" spans="1:5" x14ac:dyDescent="0.25">
      <c r="B118" s="61"/>
      <c r="C118" s="61"/>
    </row>
  </sheetData>
  <mergeCells count="53"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A11:D11"/>
    <mergeCell ref="C12:E12"/>
    <mergeCell ref="C13:E13"/>
    <mergeCell ref="C14:E14"/>
    <mergeCell ref="C15:E15"/>
    <mergeCell ref="A16:E16"/>
    <mergeCell ref="B17:D17"/>
    <mergeCell ref="B21:D21"/>
    <mergeCell ref="A23:D23"/>
    <mergeCell ref="A24:E24"/>
    <mergeCell ref="A28:C28"/>
    <mergeCell ref="A29:E29"/>
    <mergeCell ref="A39:C39"/>
    <mergeCell ref="A40:E40"/>
    <mergeCell ref="A47:D47"/>
    <mergeCell ref="A48:E48"/>
    <mergeCell ref="A52:D52"/>
    <mergeCell ref="A53:E53"/>
    <mergeCell ref="A60:C60"/>
    <mergeCell ref="A61:E61"/>
    <mergeCell ref="A70:C70"/>
    <mergeCell ref="A71:E71"/>
    <mergeCell ref="A75:C75"/>
    <mergeCell ref="A76:E76"/>
    <mergeCell ref="A80:C80"/>
    <mergeCell ref="A81:D81"/>
    <mergeCell ref="A82:E82"/>
    <mergeCell ref="A88:D88"/>
    <mergeCell ref="A89:D89"/>
    <mergeCell ref="A90:E90"/>
    <mergeCell ref="B101:C101"/>
    <mergeCell ref="A102:D102"/>
    <mergeCell ref="A103:D103"/>
    <mergeCell ref="B104:D104"/>
    <mergeCell ref="B105:D105"/>
    <mergeCell ref="A111:D111"/>
    <mergeCell ref="A112:E112"/>
    <mergeCell ref="A113:D113"/>
    <mergeCell ref="B106:D106"/>
    <mergeCell ref="B107:D107"/>
    <mergeCell ref="B108:D108"/>
    <mergeCell ref="A109:D109"/>
    <mergeCell ref="B110:D110"/>
  </mergeCells>
  <hyperlinks>
    <hyperlink ref="B36" r:id="rId1"/>
  </hyperlinks>
  <printOptions horizontalCentered="1"/>
  <pageMargins left="0.31527777777777799" right="0.31527777777777799" top="0.35416666666666702" bottom="1.02847222222222" header="0.511811023622047" footer="0.511811023622047"/>
  <pageSetup paperSize="9" scale="38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view="pageBreakPreview" topLeftCell="A19" zoomScaleNormal="115" workbookViewId="0">
      <selection activeCell="H9" sqref="H9"/>
    </sheetView>
  </sheetViews>
  <sheetFormatPr defaultColWidth="9.140625" defaultRowHeight="15.75" x14ac:dyDescent="0.25"/>
  <cols>
    <col min="1" max="1" width="8.7109375" style="57" customWidth="1"/>
    <col min="2" max="2" width="72.7109375" style="58" customWidth="1"/>
    <col min="3" max="3" width="15.7109375" style="58" customWidth="1"/>
    <col min="4" max="4" width="15.7109375" style="59" customWidth="1"/>
    <col min="5" max="5" width="15.7109375" style="60" customWidth="1"/>
    <col min="6" max="16384" width="9.140625" style="61"/>
  </cols>
  <sheetData>
    <row r="1" spans="1:5" x14ac:dyDescent="0.25">
      <c r="A1" s="224"/>
      <c r="B1" s="224"/>
      <c r="C1" s="224"/>
      <c r="D1" s="224"/>
      <c r="E1" s="224"/>
    </row>
    <row r="2" spans="1:5" ht="16.5" customHeight="1" x14ac:dyDescent="0.25">
      <c r="A2" s="225"/>
      <c r="B2" s="225"/>
      <c r="C2" s="225"/>
      <c r="D2" s="225"/>
      <c r="E2" s="225"/>
    </row>
    <row r="3" spans="1:5" x14ac:dyDescent="0.25">
      <c r="A3" s="226" t="s">
        <v>91</v>
      </c>
      <c r="B3" s="226"/>
      <c r="C3" s="226"/>
      <c r="D3" s="226"/>
      <c r="E3" s="226"/>
    </row>
    <row r="4" spans="1:5" ht="15" customHeight="1" x14ac:dyDescent="0.25">
      <c r="A4" s="62" t="s">
        <v>92</v>
      </c>
      <c r="B4" s="63" t="s">
        <v>93</v>
      </c>
      <c r="C4" s="227">
        <v>2025</v>
      </c>
      <c r="D4" s="227"/>
      <c r="E4" s="227"/>
    </row>
    <row r="5" spans="1:5" ht="15" customHeight="1" x14ac:dyDescent="0.25">
      <c r="A5" s="62" t="s">
        <v>94</v>
      </c>
      <c r="B5" s="63" t="s">
        <v>80</v>
      </c>
      <c r="C5" s="220" t="s">
        <v>95</v>
      </c>
      <c r="D5" s="220"/>
      <c r="E5" s="220"/>
    </row>
    <row r="6" spans="1:5" ht="15.75" customHeight="1" x14ac:dyDescent="0.25">
      <c r="A6" s="62" t="s">
        <v>96</v>
      </c>
      <c r="B6" s="63" t="s">
        <v>97</v>
      </c>
      <c r="C6" s="231" t="s">
        <v>217</v>
      </c>
      <c r="D6" s="231"/>
      <c r="E6" s="231"/>
    </row>
    <row r="7" spans="1:5" x14ac:dyDescent="0.25">
      <c r="A7" s="62"/>
      <c r="B7" s="63" t="s">
        <v>99</v>
      </c>
      <c r="C7" s="220">
        <v>12</v>
      </c>
      <c r="D7" s="220"/>
      <c r="E7" s="220"/>
    </row>
    <row r="8" spans="1:5" x14ac:dyDescent="0.25">
      <c r="A8" s="221" t="s">
        <v>100</v>
      </c>
      <c r="B8" s="221"/>
      <c r="C8" s="221"/>
      <c r="D8" s="221"/>
      <c r="E8" s="221"/>
    </row>
    <row r="9" spans="1:5" x14ac:dyDescent="0.25">
      <c r="A9" s="222" t="s">
        <v>101</v>
      </c>
      <c r="B9" s="222"/>
      <c r="C9" s="222"/>
      <c r="D9" s="222"/>
      <c r="E9" s="222"/>
    </row>
    <row r="10" spans="1:5" ht="15.75" customHeight="1" x14ac:dyDescent="0.25">
      <c r="A10" s="223" t="s">
        <v>102</v>
      </c>
      <c r="B10" s="223"/>
      <c r="C10" s="223"/>
      <c r="D10" s="223"/>
      <c r="E10" s="223"/>
    </row>
    <row r="11" spans="1:5" ht="30" customHeight="1" x14ac:dyDescent="0.25">
      <c r="A11" s="215" t="s">
        <v>103</v>
      </c>
      <c r="B11" s="215"/>
      <c r="C11" s="215"/>
      <c r="D11" s="215"/>
      <c r="E11" s="65" t="s">
        <v>104</v>
      </c>
    </row>
    <row r="12" spans="1:5" ht="15.75" customHeight="1" x14ac:dyDescent="0.25">
      <c r="A12" s="62">
        <v>1</v>
      </c>
      <c r="B12" s="66" t="s">
        <v>105</v>
      </c>
      <c r="C12" s="216" t="s">
        <v>95</v>
      </c>
      <c r="D12" s="216"/>
      <c r="E12" s="216"/>
    </row>
    <row r="13" spans="1:5" ht="30" customHeight="1" x14ac:dyDescent="0.25">
      <c r="A13" s="62">
        <v>2</v>
      </c>
      <c r="B13" s="66" t="s">
        <v>106</v>
      </c>
      <c r="C13" s="217">
        <v>1803.43</v>
      </c>
      <c r="D13" s="217"/>
      <c r="E13" s="217"/>
    </row>
    <row r="14" spans="1:5" ht="15.75" customHeight="1" x14ac:dyDescent="0.25">
      <c r="A14" s="62">
        <v>3</v>
      </c>
      <c r="B14" s="66" t="s">
        <v>107</v>
      </c>
      <c r="C14" s="216" t="s">
        <v>218</v>
      </c>
      <c r="D14" s="216"/>
      <c r="E14" s="216"/>
    </row>
    <row r="15" spans="1:5" x14ac:dyDescent="0.25">
      <c r="A15" s="62">
        <v>4</v>
      </c>
      <c r="B15" s="67" t="s">
        <v>109</v>
      </c>
      <c r="C15" s="230">
        <v>45805</v>
      </c>
      <c r="D15" s="230"/>
      <c r="E15" s="230"/>
    </row>
    <row r="16" spans="1:5" x14ac:dyDescent="0.25">
      <c r="A16" s="205" t="s">
        <v>110</v>
      </c>
      <c r="B16" s="205"/>
      <c r="C16" s="205"/>
      <c r="D16" s="205"/>
      <c r="E16" s="205"/>
    </row>
    <row r="17" spans="1:5" ht="15.75" customHeight="1" x14ac:dyDescent="0.25">
      <c r="A17" s="68">
        <v>1</v>
      </c>
      <c r="B17" s="213" t="s">
        <v>111</v>
      </c>
      <c r="C17" s="213"/>
      <c r="D17" s="213"/>
      <c r="E17" s="69" t="s">
        <v>104</v>
      </c>
    </row>
    <row r="18" spans="1:5" ht="15.75" customHeight="1" x14ac:dyDescent="0.25">
      <c r="A18" s="70" t="s">
        <v>92</v>
      </c>
      <c r="B18" s="71" t="s">
        <v>112</v>
      </c>
      <c r="C18" s="71"/>
      <c r="D18" s="71"/>
      <c r="E18" s="73">
        <f>C13</f>
        <v>1803.43</v>
      </c>
    </row>
    <row r="19" spans="1:5" ht="15.75" customHeight="1" x14ac:dyDescent="0.25">
      <c r="A19" s="70" t="s">
        <v>94</v>
      </c>
      <c r="B19" s="71" t="s">
        <v>113</v>
      </c>
      <c r="C19" s="74">
        <v>0</v>
      </c>
      <c r="D19" s="75">
        <v>1518</v>
      </c>
      <c r="E19" s="73">
        <v>0</v>
      </c>
    </row>
    <row r="20" spans="1:5" ht="15.75" customHeight="1" x14ac:dyDescent="0.25">
      <c r="A20" s="154" t="s">
        <v>96</v>
      </c>
      <c r="B20" s="136" t="s">
        <v>114</v>
      </c>
      <c r="C20" s="86">
        <v>0.25</v>
      </c>
      <c r="D20" s="155">
        <v>15.21</v>
      </c>
      <c r="E20" s="87">
        <f>(2.05*8)*D20</f>
        <v>249.44399999999999</v>
      </c>
    </row>
    <row r="21" spans="1:5" ht="15.75" customHeight="1" x14ac:dyDescent="0.25">
      <c r="A21" s="70"/>
      <c r="B21" s="229" t="s">
        <v>115</v>
      </c>
      <c r="C21" s="229"/>
      <c r="D21" s="229"/>
      <c r="E21" s="73">
        <f>SUM(E18:E20)</f>
        <v>2052.8740000000003</v>
      </c>
    </row>
    <row r="22" spans="1:5" ht="15.75" customHeight="1" x14ac:dyDescent="0.25">
      <c r="A22" s="70" t="s">
        <v>116</v>
      </c>
      <c r="B22" s="71" t="s">
        <v>117</v>
      </c>
      <c r="C22" s="74">
        <v>0.3</v>
      </c>
      <c r="D22" s="75">
        <f>E18</f>
        <v>1803.43</v>
      </c>
      <c r="E22" s="73">
        <f>D22*C22</f>
        <v>541.029</v>
      </c>
    </row>
    <row r="23" spans="1:5" ht="15.75" customHeight="1" x14ac:dyDescent="0.25">
      <c r="A23" s="206" t="s">
        <v>118</v>
      </c>
      <c r="B23" s="206"/>
      <c r="C23" s="206"/>
      <c r="D23" s="206"/>
      <c r="E23" s="77">
        <f>SUM(E21:E22)</f>
        <v>2593.9030000000002</v>
      </c>
    </row>
    <row r="24" spans="1:5" x14ac:dyDescent="0.25">
      <c r="A24" s="205" t="s">
        <v>119</v>
      </c>
      <c r="B24" s="205"/>
      <c r="C24" s="205"/>
      <c r="D24" s="205"/>
      <c r="E24" s="205"/>
    </row>
    <row r="25" spans="1:5" ht="30" x14ac:dyDescent="0.25">
      <c r="A25" s="78" t="s">
        <v>120</v>
      </c>
      <c r="B25" s="79" t="s">
        <v>121</v>
      </c>
      <c r="C25" s="80" t="s">
        <v>122</v>
      </c>
      <c r="D25" s="81"/>
      <c r="E25" s="82" t="s">
        <v>104</v>
      </c>
    </row>
    <row r="26" spans="1:5" x14ac:dyDescent="0.25">
      <c r="A26" s="83" t="s">
        <v>92</v>
      </c>
      <c r="B26" s="84" t="s">
        <v>123</v>
      </c>
      <c r="C26" s="85">
        <f>E23</f>
        <v>2593.9030000000002</v>
      </c>
      <c r="D26" s="86">
        <f>1/12</f>
        <v>8.3333333333333329E-2</v>
      </c>
      <c r="E26" s="87">
        <f>(C26)*D26</f>
        <v>216.15858333333335</v>
      </c>
    </row>
    <row r="27" spans="1:5" x14ac:dyDescent="0.25">
      <c r="A27" s="83" t="s">
        <v>94</v>
      </c>
      <c r="B27" s="88" t="s">
        <v>219</v>
      </c>
      <c r="C27" s="85">
        <f>E23</f>
        <v>2593.9030000000002</v>
      </c>
      <c r="D27" s="86">
        <v>0.1111</v>
      </c>
      <c r="E27" s="87">
        <f>(C27)*D27</f>
        <v>288.18262330000005</v>
      </c>
    </row>
    <row r="28" spans="1:5" ht="15.75" customHeight="1" x14ac:dyDescent="0.25">
      <c r="A28" s="208" t="s">
        <v>125</v>
      </c>
      <c r="B28" s="208"/>
      <c r="C28" s="208"/>
      <c r="D28" s="89">
        <f>SUM(D26:D27)</f>
        <v>0.19443333333333335</v>
      </c>
      <c r="E28" s="90">
        <f>SUM(E26:E27)</f>
        <v>504.3412066333334</v>
      </c>
    </row>
    <row r="29" spans="1:5" ht="30" customHeight="1" x14ac:dyDescent="0.25">
      <c r="A29" s="212" t="s">
        <v>126</v>
      </c>
      <c r="B29" s="212"/>
      <c r="C29" s="212"/>
      <c r="D29" s="212"/>
      <c r="E29" s="212"/>
    </row>
    <row r="30" spans="1:5" ht="30" x14ac:dyDescent="0.25">
      <c r="A30" s="91" t="s">
        <v>127</v>
      </c>
      <c r="B30" s="92" t="s">
        <v>128</v>
      </c>
      <c r="C30" s="93" t="s">
        <v>122</v>
      </c>
      <c r="D30" s="94"/>
      <c r="E30" s="95" t="s">
        <v>104</v>
      </c>
    </row>
    <row r="31" spans="1:5" x14ac:dyDescent="0.25">
      <c r="A31" s="83" t="s">
        <v>92</v>
      </c>
      <c r="B31" s="96" t="s">
        <v>129</v>
      </c>
      <c r="C31" s="85">
        <f t="shared" ref="C31:C38" si="0">E$23+E$28</f>
        <v>3098.2442066333338</v>
      </c>
      <c r="D31" s="86">
        <v>0.2</v>
      </c>
      <c r="E31" s="87">
        <f t="shared" ref="E31:E38" si="1">C31*D31</f>
        <v>619.6488413266668</v>
      </c>
    </row>
    <row r="32" spans="1:5" x14ac:dyDescent="0.25">
      <c r="A32" s="83" t="s">
        <v>94</v>
      </c>
      <c r="B32" s="96" t="s">
        <v>130</v>
      </c>
      <c r="C32" s="85">
        <f t="shared" si="0"/>
        <v>3098.2442066333338</v>
      </c>
      <c r="D32" s="97">
        <v>2.5000000000000001E-2</v>
      </c>
      <c r="E32" s="87">
        <f t="shared" si="1"/>
        <v>77.45610516583335</v>
      </c>
    </row>
    <row r="33" spans="1:5" ht="45" x14ac:dyDescent="0.25">
      <c r="A33" s="83" t="s">
        <v>96</v>
      </c>
      <c r="B33" s="98" t="s">
        <v>131</v>
      </c>
      <c r="C33" s="85">
        <f t="shared" si="0"/>
        <v>3098.2442066333338</v>
      </c>
      <c r="D33" s="97">
        <v>0.06</v>
      </c>
      <c r="E33" s="87">
        <f t="shared" si="1"/>
        <v>185.89465239800001</v>
      </c>
    </row>
    <row r="34" spans="1:5" x14ac:dyDescent="0.25">
      <c r="A34" s="83" t="s">
        <v>116</v>
      </c>
      <c r="B34" s="96" t="s">
        <v>132</v>
      </c>
      <c r="C34" s="85">
        <f t="shared" si="0"/>
        <v>3098.2442066333338</v>
      </c>
      <c r="D34" s="97">
        <v>1.4999999999999999E-2</v>
      </c>
      <c r="E34" s="87">
        <f t="shared" si="1"/>
        <v>46.473663099500001</v>
      </c>
    </row>
    <row r="35" spans="1:5" x14ac:dyDescent="0.25">
      <c r="A35" s="83" t="s">
        <v>133</v>
      </c>
      <c r="B35" s="96" t="s">
        <v>134</v>
      </c>
      <c r="C35" s="85">
        <f t="shared" si="0"/>
        <v>3098.2442066333338</v>
      </c>
      <c r="D35" s="97">
        <v>0.01</v>
      </c>
      <c r="E35" s="87">
        <f t="shared" si="1"/>
        <v>30.982442066333338</v>
      </c>
    </row>
    <row r="36" spans="1:5" x14ac:dyDescent="0.25">
      <c r="A36" s="83" t="s">
        <v>135</v>
      </c>
      <c r="B36" s="99" t="s">
        <v>136</v>
      </c>
      <c r="C36" s="85">
        <f t="shared" si="0"/>
        <v>3098.2442066333338</v>
      </c>
      <c r="D36" s="97">
        <v>6.0000000000000001E-3</v>
      </c>
      <c r="E36" s="87">
        <f t="shared" si="1"/>
        <v>18.589465239800003</v>
      </c>
    </row>
    <row r="37" spans="1:5" ht="30" x14ac:dyDescent="0.25">
      <c r="A37" s="83" t="s">
        <v>137</v>
      </c>
      <c r="B37" s="98" t="s">
        <v>138</v>
      </c>
      <c r="C37" s="85">
        <f t="shared" si="0"/>
        <v>3098.2442066333338</v>
      </c>
      <c r="D37" s="97">
        <v>2E-3</v>
      </c>
      <c r="E37" s="87">
        <f t="shared" si="1"/>
        <v>6.1964884132666675</v>
      </c>
    </row>
    <row r="38" spans="1:5" x14ac:dyDescent="0.25">
      <c r="A38" s="83" t="s">
        <v>139</v>
      </c>
      <c r="B38" s="96" t="s">
        <v>140</v>
      </c>
      <c r="C38" s="85">
        <f t="shared" si="0"/>
        <v>3098.2442066333338</v>
      </c>
      <c r="D38" s="97">
        <v>0.08</v>
      </c>
      <c r="E38" s="87">
        <f t="shared" si="1"/>
        <v>247.8595365306667</v>
      </c>
    </row>
    <row r="39" spans="1:5" ht="15.75" customHeight="1" x14ac:dyDescent="0.25">
      <c r="A39" s="208" t="s">
        <v>125</v>
      </c>
      <c r="B39" s="208"/>
      <c r="C39" s="208"/>
      <c r="D39" s="100">
        <f>SUM(D31:D38)</f>
        <v>0.39800000000000008</v>
      </c>
      <c r="E39" s="90">
        <f>SUM(E31:E38)</f>
        <v>1233.1011942400669</v>
      </c>
    </row>
    <row r="40" spans="1:5" x14ac:dyDescent="0.25">
      <c r="A40" s="209" t="s">
        <v>141</v>
      </c>
      <c r="B40" s="209"/>
      <c r="C40" s="209"/>
      <c r="D40" s="209"/>
      <c r="E40" s="209"/>
    </row>
    <row r="41" spans="1:5" ht="30" x14ac:dyDescent="0.25">
      <c r="A41" s="101" t="s">
        <v>142</v>
      </c>
      <c r="B41" s="102" t="s">
        <v>143</v>
      </c>
      <c r="C41" s="80" t="s">
        <v>122</v>
      </c>
      <c r="D41" s="81"/>
      <c r="E41" s="82" t="s">
        <v>104</v>
      </c>
    </row>
    <row r="42" spans="1:5" x14ac:dyDescent="0.25">
      <c r="A42" s="103" t="s">
        <v>92</v>
      </c>
      <c r="B42" s="104" t="s">
        <v>144</v>
      </c>
      <c r="C42" s="105">
        <v>3</v>
      </c>
      <c r="D42" s="104"/>
      <c r="E42" s="106">
        <f>(C13*0.06)-(32*C42)</f>
        <v>12.205799999999996</v>
      </c>
    </row>
    <row r="43" spans="1:5" x14ac:dyDescent="0.25">
      <c r="A43" s="83" t="s">
        <v>94</v>
      </c>
      <c r="B43" s="84" t="s">
        <v>145</v>
      </c>
      <c r="C43" s="107">
        <v>44</v>
      </c>
      <c r="D43" s="108"/>
      <c r="E43" s="87">
        <f>(C43*15.21)-((C43*15.21)*1%)</f>
        <v>662.54759999999999</v>
      </c>
    </row>
    <row r="44" spans="1:5" ht="15.75" customHeight="1" x14ac:dyDescent="0.25">
      <c r="A44" s="83" t="s">
        <v>96</v>
      </c>
      <c r="B44" s="84" t="s">
        <v>146</v>
      </c>
      <c r="C44" s="107">
        <f>C13*(16-1)/100</f>
        <v>270.5145</v>
      </c>
      <c r="D44" s="108"/>
      <c r="E44" s="87">
        <f>C44/12</f>
        <v>22.542874999999999</v>
      </c>
    </row>
    <row r="45" spans="1:5" ht="15.75" customHeight="1" x14ac:dyDescent="0.25">
      <c r="A45" s="83" t="s">
        <v>116</v>
      </c>
      <c r="B45" s="109" t="s">
        <v>147</v>
      </c>
      <c r="C45" s="107">
        <v>15.06</v>
      </c>
      <c r="D45" s="108"/>
      <c r="E45" s="87">
        <f>C45</f>
        <v>15.06</v>
      </c>
    </row>
    <row r="46" spans="1:5" x14ac:dyDescent="0.25">
      <c r="A46" s="116" t="s">
        <v>133</v>
      </c>
      <c r="B46" s="117" t="s">
        <v>148</v>
      </c>
      <c r="C46" s="156"/>
      <c r="D46" s="157"/>
      <c r="E46" s="73">
        <f>(((E18+E22)*26)+((E18)*5))/1000*0.21</f>
        <v>14.694347639999997</v>
      </c>
    </row>
    <row r="47" spans="1:5" ht="15.75" customHeight="1" x14ac:dyDescent="0.25">
      <c r="A47" s="208" t="s">
        <v>149</v>
      </c>
      <c r="B47" s="208"/>
      <c r="C47" s="208"/>
      <c r="D47" s="208"/>
      <c r="E47" s="90">
        <f>SUM(E42:E46)</f>
        <v>727.05062263999992</v>
      </c>
    </row>
    <row r="48" spans="1:5" ht="15.75" customHeight="1" x14ac:dyDescent="0.25">
      <c r="A48" s="209" t="s">
        <v>150</v>
      </c>
      <c r="B48" s="209"/>
      <c r="C48" s="209"/>
      <c r="D48" s="209"/>
      <c r="E48" s="209"/>
    </row>
    <row r="49" spans="1:5" ht="15.75" customHeight="1" x14ac:dyDescent="0.25">
      <c r="A49" s="64" t="s">
        <v>120</v>
      </c>
      <c r="B49" s="110" t="s">
        <v>151</v>
      </c>
      <c r="C49" s="111"/>
      <c r="D49" s="111"/>
      <c r="E49" s="112">
        <f>E28</f>
        <v>504.3412066333334</v>
      </c>
    </row>
    <row r="50" spans="1:5" ht="15.75" customHeight="1" x14ac:dyDescent="0.25">
      <c r="A50" s="64" t="s">
        <v>127</v>
      </c>
      <c r="B50" s="110" t="s">
        <v>152</v>
      </c>
      <c r="C50" s="111"/>
      <c r="D50" s="111"/>
      <c r="E50" s="112">
        <f>E39</f>
        <v>1233.1011942400669</v>
      </c>
    </row>
    <row r="51" spans="1:5" ht="15.75" customHeight="1" x14ac:dyDescent="0.25">
      <c r="A51" s="64" t="s">
        <v>142</v>
      </c>
      <c r="B51" s="110" t="s">
        <v>153</v>
      </c>
      <c r="C51" s="111"/>
      <c r="D51" s="111"/>
      <c r="E51" s="112">
        <f>E47</f>
        <v>727.05062263999992</v>
      </c>
    </row>
    <row r="52" spans="1:5" ht="15.75" customHeight="1" x14ac:dyDescent="0.25">
      <c r="A52" s="204" t="s">
        <v>154</v>
      </c>
      <c r="B52" s="204"/>
      <c r="C52" s="204"/>
      <c r="D52" s="204"/>
      <c r="E52" s="77">
        <f>SUM(E49:E51)</f>
        <v>2464.4930235134002</v>
      </c>
    </row>
    <row r="53" spans="1:5" ht="15.75" customHeight="1" x14ac:dyDescent="0.25">
      <c r="A53" s="205" t="s">
        <v>155</v>
      </c>
      <c r="B53" s="205"/>
      <c r="C53" s="205"/>
      <c r="D53" s="205"/>
      <c r="E53" s="205"/>
    </row>
    <row r="54" spans="1:5" ht="30" customHeight="1" x14ac:dyDescent="0.25">
      <c r="A54" s="64" t="s">
        <v>156</v>
      </c>
      <c r="B54" s="127" t="s">
        <v>157</v>
      </c>
      <c r="C54" s="158" t="s">
        <v>122</v>
      </c>
      <c r="D54" s="72"/>
      <c r="E54" s="69" t="s">
        <v>104</v>
      </c>
    </row>
    <row r="55" spans="1:5" ht="15.75" customHeight="1" x14ac:dyDescent="0.25">
      <c r="A55" s="116" t="s">
        <v>92</v>
      </c>
      <c r="B55" s="117" t="s">
        <v>158</v>
      </c>
      <c r="C55" s="159">
        <f>E$23+E28</f>
        <v>3098.2442066333338</v>
      </c>
      <c r="D55" s="86">
        <f>100%*(1/12)*5.55%</f>
        <v>4.6249999999999998E-3</v>
      </c>
      <c r="E55" s="73">
        <f>C55*D55</f>
        <v>14.329379455679168</v>
      </c>
    </row>
    <row r="56" spans="1:5" ht="15.75" customHeight="1" x14ac:dyDescent="0.25">
      <c r="A56" s="116" t="s">
        <v>94</v>
      </c>
      <c r="B56" s="117" t="s">
        <v>159</v>
      </c>
      <c r="C56" s="159">
        <f>E$23+E28</f>
        <v>3098.2442066333338</v>
      </c>
      <c r="D56" s="74">
        <v>4.0000000000000002E-4</v>
      </c>
      <c r="E56" s="73">
        <f>C56*D56</f>
        <v>1.2392976826533335</v>
      </c>
    </row>
    <row r="57" spans="1:5" ht="15.75" customHeight="1" x14ac:dyDescent="0.25">
      <c r="A57" s="116" t="s">
        <v>96</v>
      </c>
      <c r="B57" s="117" t="s">
        <v>160</v>
      </c>
      <c r="C57" s="159">
        <f>E$23+E28</f>
        <v>3098.2442066333338</v>
      </c>
      <c r="D57" s="86">
        <v>1.9400000000000001E-2</v>
      </c>
      <c r="E57" s="73">
        <f>C57*D57</f>
        <v>60.105937608686673</v>
      </c>
    </row>
    <row r="58" spans="1:5" ht="30" customHeight="1" x14ac:dyDescent="0.25">
      <c r="A58" s="116" t="s">
        <v>116</v>
      </c>
      <c r="B58" s="160" t="s">
        <v>161</v>
      </c>
      <c r="C58" s="159">
        <f>E$23+E28</f>
        <v>3098.2442066333338</v>
      </c>
      <c r="D58" s="86">
        <f>D39*D57</f>
        <v>7.7212000000000018E-3</v>
      </c>
      <c r="E58" s="73">
        <f>C58*D58</f>
        <v>23.922163168257303</v>
      </c>
    </row>
    <row r="59" spans="1:5" ht="32.25" customHeight="1" x14ac:dyDescent="0.25">
      <c r="A59" s="116" t="s">
        <v>133</v>
      </c>
      <c r="B59" s="117" t="s">
        <v>162</v>
      </c>
      <c r="C59" s="159">
        <f>E$23+E28</f>
        <v>3098.2442066333338</v>
      </c>
      <c r="D59" s="86">
        <v>0.04</v>
      </c>
      <c r="E59" s="73">
        <f>C59*D59</f>
        <v>123.92976826533335</v>
      </c>
    </row>
    <row r="60" spans="1:5" ht="15.75" customHeight="1" x14ac:dyDescent="0.25">
      <c r="A60" s="211" t="s">
        <v>163</v>
      </c>
      <c r="B60" s="211"/>
      <c r="C60" s="211"/>
      <c r="D60" s="119">
        <f>SUM(D55:D59)</f>
        <v>7.2146200000000008E-2</v>
      </c>
      <c r="E60" s="120">
        <f>SUM(E55:E59)</f>
        <v>223.52654618060984</v>
      </c>
    </row>
    <row r="61" spans="1:5" ht="15.75" customHeight="1" x14ac:dyDescent="0.25">
      <c r="A61" s="205" t="s">
        <v>164</v>
      </c>
      <c r="B61" s="205"/>
      <c r="C61" s="205"/>
      <c r="D61" s="205"/>
      <c r="E61" s="205"/>
    </row>
    <row r="62" spans="1:5" ht="30" x14ac:dyDescent="0.25">
      <c r="A62" s="91" t="s">
        <v>165</v>
      </c>
      <c r="B62" s="121" t="s">
        <v>166</v>
      </c>
      <c r="C62" s="114" t="s">
        <v>122</v>
      </c>
      <c r="D62" s="122"/>
      <c r="E62" s="95" t="s">
        <v>104</v>
      </c>
    </row>
    <row r="63" spans="1:5" x14ac:dyDescent="0.25">
      <c r="A63" s="83" t="s">
        <v>92</v>
      </c>
      <c r="B63" s="84" t="s">
        <v>167</v>
      </c>
      <c r="C63" s="123">
        <f>E$23+E$52+E$60+E84</f>
        <v>5352.6315280273438</v>
      </c>
      <c r="D63" s="86">
        <f>D27/12</f>
        <v>9.2583333333333337E-3</v>
      </c>
      <c r="E63" s="87">
        <f t="shared" ref="E63:E69" si="2">C63*D63</f>
        <v>49.556446896986493</v>
      </c>
    </row>
    <row r="64" spans="1:5" x14ac:dyDescent="0.25">
      <c r="A64" s="83" t="s">
        <v>94</v>
      </c>
      <c r="B64" s="84" t="s">
        <v>168</v>
      </c>
      <c r="C64" s="123">
        <f>E$23+E$52+E$60+E84</f>
        <v>5352.6315280273438</v>
      </c>
      <c r="D64" s="86">
        <v>1.3899999999999999E-2</v>
      </c>
      <c r="E64" s="87">
        <f t="shared" si="2"/>
        <v>74.401578239580076</v>
      </c>
    </row>
    <row r="65" spans="1:5" x14ac:dyDescent="0.25">
      <c r="A65" s="83" t="s">
        <v>96</v>
      </c>
      <c r="B65" s="84" t="s">
        <v>169</v>
      </c>
      <c r="C65" s="123">
        <f>E$23+E$52+E$60+E84</f>
        <v>5352.6315280273438</v>
      </c>
      <c r="D65" s="86">
        <v>1.2999999999999999E-3</v>
      </c>
      <c r="E65" s="87">
        <f t="shared" si="2"/>
        <v>6.9584209864355469</v>
      </c>
    </row>
    <row r="66" spans="1:5" x14ac:dyDescent="0.25">
      <c r="A66" s="83" t="s">
        <v>116</v>
      </c>
      <c r="B66" s="84" t="s">
        <v>170</v>
      </c>
      <c r="C66" s="123">
        <f>E$23+E$52+E$60+E84</f>
        <v>5352.6315280273438</v>
      </c>
      <c r="D66" s="86">
        <v>2.0000000000000001E-4</v>
      </c>
      <c r="E66" s="87">
        <f t="shared" si="2"/>
        <v>1.0705263056054688</v>
      </c>
    </row>
    <row r="67" spans="1:5" x14ac:dyDescent="0.25">
      <c r="A67" s="83" t="s">
        <v>133</v>
      </c>
      <c r="B67" s="84" t="s">
        <v>171</v>
      </c>
      <c r="C67" s="123">
        <f>E$23+E$52+E$60+E84</f>
        <v>5352.6315280273438</v>
      </c>
      <c r="D67" s="86">
        <v>2.8E-3</v>
      </c>
      <c r="E67" s="87">
        <f t="shared" si="2"/>
        <v>14.987368278476563</v>
      </c>
    </row>
    <row r="68" spans="1:5" x14ac:dyDescent="0.25">
      <c r="A68" s="83" t="s">
        <v>135</v>
      </c>
      <c r="B68" s="84" t="s">
        <v>172</v>
      </c>
      <c r="C68" s="123">
        <f>E$23+E$52+E$60+E84</f>
        <v>5352.6315280273438</v>
      </c>
      <c r="D68" s="86">
        <v>2.9999999999999997E-4</v>
      </c>
      <c r="E68" s="87">
        <f t="shared" si="2"/>
        <v>1.6057894584082031</v>
      </c>
    </row>
    <row r="69" spans="1:5" x14ac:dyDescent="0.25">
      <c r="A69" s="83" t="s">
        <v>137</v>
      </c>
      <c r="B69" s="124" t="s">
        <v>173</v>
      </c>
      <c r="C69" s="123">
        <f>E$23+E$52+E$60+E84</f>
        <v>5352.6315280273438</v>
      </c>
      <c r="D69" s="86">
        <v>0</v>
      </c>
      <c r="E69" s="87">
        <f t="shared" si="2"/>
        <v>0</v>
      </c>
    </row>
    <row r="70" spans="1:5" ht="15.75" customHeight="1" x14ac:dyDescent="0.25">
      <c r="A70" s="208" t="s">
        <v>174</v>
      </c>
      <c r="B70" s="208"/>
      <c r="C70" s="208"/>
      <c r="D70" s="125">
        <f>SUM(D63:D69)</f>
        <v>2.7758333333333333E-2</v>
      </c>
      <c r="E70" s="90">
        <f>SUM(E63:E69)</f>
        <v>148.58013016549233</v>
      </c>
    </row>
    <row r="71" spans="1:5" ht="15.75" customHeight="1" x14ac:dyDescent="0.25">
      <c r="A71" s="209" t="s">
        <v>175</v>
      </c>
      <c r="B71" s="209"/>
      <c r="C71" s="209"/>
      <c r="D71" s="209"/>
      <c r="E71" s="209"/>
    </row>
    <row r="72" spans="1:5" x14ac:dyDescent="0.25">
      <c r="A72" s="68"/>
      <c r="B72" s="161" t="s">
        <v>175</v>
      </c>
      <c r="C72" s="71"/>
      <c r="D72" s="71"/>
      <c r="E72" s="69" t="s">
        <v>104</v>
      </c>
    </row>
    <row r="73" spans="1:5" x14ac:dyDescent="0.25">
      <c r="A73" s="116" t="s">
        <v>92</v>
      </c>
      <c r="B73" s="126" t="s">
        <v>176</v>
      </c>
      <c r="C73" s="67"/>
      <c r="D73" s="74"/>
      <c r="E73" s="73">
        <f>(7.71*1.5)*15.21</f>
        <v>175.90365</v>
      </c>
    </row>
    <row r="74" spans="1:5" ht="15.75" customHeight="1" x14ac:dyDescent="0.25">
      <c r="A74" s="116" t="s">
        <v>94</v>
      </c>
      <c r="B74" s="126" t="s">
        <v>177</v>
      </c>
      <c r="C74" s="67"/>
      <c r="D74" s="74">
        <f>D39</f>
        <v>0.39800000000000008</v>
      </c>
      <c r="E74" s="73">
        <f>E73*D74</f>
        <v>70.009652700000018</v>
      </c>
    </row>
    <row r="75" spans="1:5" ht="15.75" customHeight="1" x14ac:dyDescent="0.25">
      <c r="A75" s="208" t="s">
        <v>178</v>
      </c>
      <c r="B75" s="208"/>
      <c r="C75" s="208"/>
      <c r="D75" s="89">
        <f>SUM(D74:D74)</f>
        <v>0.39800000000000008</v>
      </c>
      <c r="E75" s="90">
        <f>SUM(E73:E74)</f>
        <v>245.91330270000003</v>
      </c>
    </row>
    <row r="76" spans="1:5" ht="15.75" customHeight="1" x14ac:dyDescent="0.25">
      <c r="A76" s="210" t="s">
        <v>179</v>
      </c>
      <c r="B76" s="210"/>
      <c r="C76" s="210"/>
      <c r="D76" s="210"/>
      <c r="E76" s="210"/>
    </row>
    <row r="77" spans="1:5" ht="15.75" customHeight="1" x14ac:dyDescent="0.25">
      <c r="A77" s="91">
        <v>4</v>
      </c>
      <c r="B77" s="127" t="s">
        <v>180</v>
      </c>
      <c r="C77" s="128"/>
      <c r="D77" s="71"/>
      <c r="E77" s="95" t="s">
        <v>104</v>
      </c>
    </row>
    <row r="78" spans="1:5" ht="15.75" customHeight="1" x14ac:dyDescent="0.25">
      <c r="A78" s="83" t="s">
        <v>165</v>
      </c>
      <c r="B78" s="84" t="s">
        <v>166</v>
      </c>
      <c r="C78" s="128"/>
      <c r="D78" s="86">
        <f>D70</f>
        <v>2.7758333333333333E-2</v>
      </c>
      <c r="E78" s="87">
        <f>E70</f>
        <v>148.58013016549233</v>
      </c>
    </row>
    <row r="79" spans="1:5" ht="15.75" customHeight="1" x14ac:dyDescent="0.25">
      <c r="A79" s="83" t="s">
        <v>181</v>
      </c>
      <c r="B79" s="84" t="s">
        <v>175</v>
      </c>
      <c r="C79" s="128"/>
      <c r="D79" s="86"/>
      <c r="E79" s="87">
        <f>E75</f>
        <v>245.91330270000003</v>
      </c>
    </row>
    <row r="80" spans="1:5" ht="15.75" customHeight="1" x14ac:dyDescent="0.25">
      <c r="A80" s="208" t="s">
        <v>125</v>
      </c>
      <c r="B80" s="208"/>
      <c r="C80" s="208"/>
      <c r="D80" s="89">
        <f>SUM(D78:D79)</f>
        <v>2.7758333333333333E-2</v>
      </c>
      <c r="E80" s="90">
        <f>SUM(E78:E79)</f>
        <v>394.49343286549237</v>
      </c>
    </row>
    <row r="81" spans="1:5" ht="15.75" customHeight="1" x14ac:dyDescent="0.25">
      <c r="A81" s="204" t="s">
        <v>182</v>
      </c>
      <c r="B81" s="204"/>
      <c r="C81" s="204"/>
      <c r="D81" s="204"/>
      <c r="E81" s="129">
        <f>SUM(E70+E75)</f>
        <v>394.49343286549237</v>
      </c>
    </row>
    <row r="82" spans="1:5" ht="15.75" customHeight="1" x14ac:dyDescent="0.25">
      <c r="A82" s="205" t="s">
        <v>183</v>
      </c>
      <c r="B82" s="205"/>
      <c r="C82" s="205"/>
      <c r="D82" s="205"/>
      <c r="E82" s="205"/>
    </row>
    <row r="83" spans="1:5" ht="15.75" customHeight="1" x14ac:dyDescent="0.25">
      <c r="A83" s="91">
        <v>5</v>
      </c>
      <c r="B83" s="113" t="s">
        <v>184</v>
      </c>
      <c r="C83" s="118"/>
      <c r="D83" s="118"/>
      <c r="E83" s="95" t="s">
        <v>104</v>
      </c>
    </row>
    <row r="84" spans="1:5" ht="15.75" customHeight="1" x14ac:dyDescent="0.25">
      <c r="A84" s="116" t="s">
        <v>92</v>
      </c>
      <c r="B84" s="117" t="s">
        <v>185</v>
      </c>
      <c r="C84" s="130"/>
      <c r="D84" s="131"/>
      <c r="E84" s="87">
        <f>'Uniformes '!H16</f>
        <v>70.708958333333328</v>
      </c>
    </row>
    <row r="85" spans="1:5" ht="15.75" customHeight="1" x14ac:dyDescent="0.25">
      <c r="A85" s="116" t="s">
        <v>94</v>
      </c>
      <c r="B85" s="117" t="s">
        <v>186</v>
      </c>
      <c r="C85" s="130"/>
      <c r="D85" s="131"/>
      <c r="E85" s="87">
        <f>Insumos!H20</f>
        <v>276.26906250000002</v>
      </c>
    </row>
    <row r="86" spans="1:5" ht="15.75" customHeight="1" x14ac:dyDescent="0.25">
      <c r="A86" s="116" t="s">
        <v>96</v>
      </c>
      <c r="B86" s="117" t="s">
        <v>187</v>
      </c>
      <c r="C86" s="130"/>
      <c r="D86" s="131"/>
      <c r="E86" s="87">
        <v>0</v>
      </c>
    </row>
    <row r="87" spans="1:5" ht="15.75" customHeight="1" x14ac:dyDescent="0.25">
      <c r="A87" s="116" t="s">
        <v>116</v>
      </c>
      <c r="B87" s="117" t="s">
        <v>188</v>
      </c>
      <c r="C87" s="130"/>
      <c r="D87" s="131"/>
      <c r="E87" s="87">
        <v>33.869999999999997</v>
      </c>
    </row>
    <row r="88" spans="1:5" ht="15.75" customHeight="1" x14ac:dyDescent="0.25">
      <c r="A88" s="206" t="s">
        <v>189</v>
      </c>
      <c r="B88" s="206"/>
      <c r="C88" s="206"/>
      <c r="D88" s="206"/>
      <c r="E88" s="77">
        <f>SUM(E84:E87)</f>
        <v>380.84802083333335</v>
      </c>
    </row>
    <row r="89" spans="1:5" ht="23.25" customHeight="1" x14ac:dyDescent="0.25">
      <c r="A89" s="207" t="s">
        <v>190</v>
      </c>
      <c r="B89" s="207"/>
      <c r="C89" s="207"/>
      <c r="D89" s="207"/>
      <c r="E89" s="132">
        <f>E88+E81+E60+E52+E23</f>
        <v>6057.264023392836</v>
      </c>
    </row>
    <row r="90" spans="1:5" ht="19.5" customHeight="1" x14ac:dyDescent="0.25">
      <c r="A90" s="205" t="s">
        <v>191</v>
      </c>
      <c r="B90" s="205"/>
      <c r="C90" s="205"/>
      <c r="D90" s="205"/>
      <c r="E90" s="205"/>
    </row>
    <row r="91" spans="1:5" ht="30" customHeight="1" x14ac:dyDescent="0.25">
      <c r="A91" s="91">
        <v>6</v>
      </c>
      <c r="B91" s="113" t="s">
        <v>192</v>
      </c>
      <c r="C91" s="93" t="s">
        <v>122</v>
      </c>
      <c r="D91" s="93"/>
      <c r="E91" s="95" t="s">
        <v>104</v>
      </c>
    </row>
    <row r="92" spans="1:5" ht="15.75" customHeight="1" x14ac:dyDescent="0.25">
      <c r="A92" s="83" t="s">
        <v>92</v>
      </c>
      <c r="B92" s="84" t="s">
        <v>193</v>
      </c>
      <c r="C92" s="133">
        <f>E89</f>
        <v>6057.264023392836</v>
      </c>
      <c r="D92" s="86">
        <v>0.05</v>
      </c>
      <c r="E92" s="87">
        <f>C92*D92</f>
        <v>302.8632011696418</v>
      </c>
    </row>
    <row r="93" spans="1:5" ht="15.75" customHeight="1" x14ac:dyDescent="0.25">
      <c r="A93" s="83" t="s">
        <v>94</v>
      </c>
      <c r="B93" s="84" t="s">
        <v>194</v>
      </c>
      <c r="C93" s="133">
        <f>E89+E92</f>
        <v>6360.1272245624777</v>
      </c>
      <c r="D93" s="86">
        <v>0.1</v>
      </c>
      <c r="E93" s="87">
        <f>D93*C93</f>
        <v>636.01272245624784</v>
      </c>
    </row>
    <row r="94" spans="1:5" ht="30" customHeight="1" x14ac:dyDescent="0.25">
      <c r="A94" s="83"/>
      <c r="B94" s="134" t="s">
        <v>195</v>
      </c>
      <c r="C94" s="84"/>
      <c r="D94" s="86">
        <f>1-D101</f>
        <v>0.91349999999999998</v>
      </c>
      <c r="E94" s="87">
        <f>+E89+E92+E93</f>
        <v>6996.1399470187253</v>
      </c>
    </row>
    <row r="95" spans="1:5" ht="15.75" customHeight="1" x14ac:dyDescent="0.25">
      <c r="A95" s="83"/>
      <c r="B95" s="135"/>
      <c r="C95" s="136"/>
      <c r="D95" s="137"/>
      <c r="E95" s="138">
        <f>+E94/D94</f>
        <v>7658.6096847495628</v>
      </c>
    </row>
    <row r="96" spans="1:5" ht="15.75" customHeight="1" x14ac:dyDescent="0.25">
      <c r="A96" s="83" t="s">
        <v>96</v>
      </c>
      <c r="B96" s="124" t="s">
        <v>196</v>
      </c>
      <c r="C96" s="136"/>
      <c r="D96" s="139">
        <f>D98+D99+D100</f>
        <v>8.6499999999999994E-2</v>
      </c>
      <c r="E96" s="138"/>
    </row>
    <row r="97" spans="1:5" ht="15.75" customHeight="1" x14ac:dyDescent="0.25">
      <c r="A97" s="83" t="s">
        <v>197</v>
      </c>
      <c r="B97" s="124" t="s">
        <v>198</v>
      </c>
      <c r="C97" s="124"/>
      <c r="D97" s="140">
        <f>D98+D99</f>
        <v>3.6499999999999998E-2</v>
      </c>
      <c r="E97" s="87"/>
    </row>
    <row r="98" spans="1:5" ht="15.75" customHeight="1" x14ac:dyDescent="0.25">
      <c r="A98" s="83" t="s">
        <v>199</v>
      </c>
      <c r="B98" s="84" t="s">
        <v>200</v>
      </c>
      <c r="C98" s="107">
        <f>E95</f>
        <v>7658.6096847495628</v>
      </c>
      <c r="D98" s="86">
        <v>6.4999999999999997E-3</v>
      </c>
      <c r="E98" s="87">
        <f>C98*D98</f>
        <v>49.780962950872159</v>
      </c>
    </row>
    <row r="99" spans="1:5" ht="15.75" customHeight="1" x14ac:dyDescent="0.25">
      <c r="A99" s="83" t="s">
        <v>201</v>
      </c>
      <c r="B99" s="84" t="s">
        <v>202</v>
      </c>
      <c r="C99" s="107">
        <f>E95</f>
        <v>7658.6096847495628</v>
      </c>
      <c r="D99" s="86">
        <v>0.03</v>
      </c>
      <c r="E99" s="87">
        <f>C99*D99</f>
        <v>229.75829054248689</v>
      </c>
    </row>
    <row r="100" spans="1:5" ht="15.75" customHeight="1" x14ac:dyDescent="0.25">
      <c r="A100" s="141" t="s">
        <v>203</v>
      </c>
      <c r="B100" s="142" t="s">
        <v>204</v>
      </c>
      <c r="C100" s="143">
        <f>E95</f>
        <v>7658.6096847495628</v>
      </c>
      <c r="D100" s="144">
        <v>0.05</v>
      </c>
      <c r="E100" s="145">
        <f>C100*D100</f>
        <v>382.93048423747814</v>
      </c>
    </row>
    <row r="101" spans="1:5" x14ac:dyDescent="0.25">
      <c r="A101" s="146"/>
      <c r="B101" s="201" t="s">
        <v>205</v>
      </c>
      <c r="C101" s="201"/>
      <c r="D101" s="147">
        <f>D96</f>
        <v>8.6499999999999994E-2</v>
      </c>
      <c r="E101" s="148">
        <f>SUM(E98:E100)</f>
        <v>662.46973773083721</v>
      </c>
    </row>
    <row r="102" spans="1:5" ht="15.75" customHeight="1" x14ac:dyDescent="0.25">
      <c r="A102" s="202" t="s">
        <v>206</v>
      </c>
      <c r="B102" s="202"/>
      <c r="C102" s="202"/>
      <c r="D102" s="202"/>
      <c r="E102" s="149">
        <f>+E92+E93+E101</f>
        <v>1601.3456613567269</v>
      </c>
    </row>
    <row r="103" spans="1:5" ht="15.75" customHeight="1" x14ac:dyDescent="0.25">
      <c r="A103" s="203" t="s">
        <v>207</v>
      </c>
      <c r="B103" s="203"/>
      <c r="C103" s="203"/>
      <c r="D103" s="203"/>
      <c r="E103" s="150" t="s">
        <v>104</v>
      </c>
    </row>
    <row r="104" spans="1:5" ht="15.75" customHeight="1" x14ac:dyDescent="0.25">
      <c r="A104" s="83" t="s">
        <v>92</v>
      </c>
      <c r="B104" s="199" t="s">
        <v>208</v>
      </c>
      <c r="C104" s="199"/>
      <c r="D104" s="199"/>
      <c r="E104" s="87">
        <f>+E23</f>
        <v>2593.9030000000002</v>
      </c>
    </row>
    <row r="105" spans="1:5" ht="15.75" customHeight="1" x14ac:dyDescent="0.25">
      <c r="A105" s="83" t="s">
        <v>94</v>
      </c>
      <c r="B105" s="199" t="s">
        <v>209</v>
      </c>
      <c r="C105" s="199"/>
      <c r="D105" s="199"/>
      <c r="E105" s="87">
        <f>+E52</f>
        <v>2464.4930235134002</v>
      </c>
    </row>
    <row r="106" spans="1:5" ht="15.75" customHeight="1" x14ac:dyDescent="0.25">
      <c r="A106" s="83" t="s">
        <v>96</v>
      </c>
      <c r="B106" s="199" t="s">
        <v>210</v>
      </c>
      <c r="C106" s="199"/>
      <c r="D106" s="199"/>
      <c r="E106" s="87">
        <f>E60</f>
        <v>223.52654618060984</v>
      </c>
    </row>
    <row r="107" spans="1:5" ht="15.75" customHeight="1" x14ac:dyDescent="0.25">
      <c r="A107" s="83" t="s">
        <v>116</v>
      </c>
      <c r="B107" s="199" t="s">
        <v>211</v>
      </c>
      <c r="C107" s="199"/>
      <c r="D107" s="199"/>
      <c r="E107" s="87">
        <f>E81</f>
        <v>394.49343286549237</v>
      </c>
    </row>
    <row r="108" spans="1:5" ht="15.75" customHeight="1" x14ac:dyDescent="0.25">
      <c r="A108" s="83" t="s">
        <v>133</v>
      </c>
      <c r="B108" s="199" t="s">
        <v>212</v>
      </c>
      <c r="C108" s="199"/>
      <c r="D108" s="199"/>
      <c r="E108" s="87">
        <f>E88</f>
        <v>380.84802083333335</v>
      </c>
    </row>
    <row r="109" spans="1:5" ht="15.75" customHeight="1" x14ac:dyDescent="0.25">
      <c r="A109" s="200" t="s">
        <v>213</v>
      </c>
      <c r="B109" s="200"/>
      <c r="C109" s="200"/>
      <c r="D109" s="200"/>
      <c r="E109" s="151">
        <f>SUM(E104:E108)</f>
        <v>6057.264023392836</v>
      </c>
    </row>
    <row r="110" spans="1:5" ht="15.75" customHeight="1" x14ac:dyDescent="0.25">
      <c r="A110" s="83" t="s">
        <v>135</v>
      </c>
      <c r="B110" s="199" t="s">
        <v>214</v>
      </c>
      <c r="C110" s="199"/>
      <c r="D110" s="199"/>
      <c r="E110" s="87">
        <f>+E102</f>
        <v>1601.3456613567269</v>
      </c>
    </row>
    <row r="111" spans="1:5" ht="16.5" customHeight="1" x14ac:dyDescent="0.25">
      <c r="A111" s="196" t="s">
        <v>215</v>
      </c>
      <c r="B111" s="196"/>
      <c r="C111" s="196"/>
      <c r="D111" s="196"/>
      <c r="E111" s="152">
        <f>+E109+E110</f>
        <v>7658.6096847495628</v>
      </c>
    </row>
    <row r="112" spans="1:5" x14ac:dyDescent="0.25">
      <c r="A112" s="228"/>
      <c r="B112" s="228"/>
      <c r="C112" s="228"/>
      <c r="D112" s="228"/>
      <c r="E112" s="228"/>
    </row>
    <row r="113" spans="1:5" ht="16.5" customHeight="1" x14ac:dyDescent="0.25">
      <c r="A113" s="198" t="s">
        <v>220</v>
      </c>
      <c r="B113" s="198"/>
      <c r="C113" s="198"/>
      <c r="D113" s="198"/>
      <c r="E113" s="153">
        <f>E111*2</f>
        <v>15317.219369499126</v>
      </c>
    </row>
    <row r="118" spans="1:5" x14ac:dyDescent="0.25">
      <c r="B118" s="61"/>
      <c r="C118" s="61"/>
    </row>
  </sheetData>
  <mergeCells count="53"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A11:D11"/>
    <mergeCell ref="C12:E12"/>
    <mergeCell ref="C13:E13"/>
    <mergeCell ref="C14:E14"/>
    <mergeCell ref="C15:E15"/>
    <mergeCell ref="A16:E16"/>
    <mergeCell ref="B17:D17"/>
    <mergeCell ref="B21:D21"/>
    <mergeCell ref="A23:D23"/>
    <mergeCell ref="A24:E24"/>
    <mergeCell ref="A28:C28"/>
    <mergeCell ref="A29:E29"/>
    <mergeCell ref="A39:C39"/>
    <mergeCell ref="A40:E40"/>
    <mergeCell ref="A47:D47"/>
    <mergeCell ref="A48:E48"/>
    <mergeCell ref="A52:D52"/>
    <mergeCell ref="A53:E53"/>
    <mergeCell ref="A60:C60"/>
    <mergeCell ref="A61:E61"/>
    <mergeCell ref="A70:C70"/>
    <mergeCell ref="A71:E71"/>
    <mergeCell ref="A75:C75"/>
    <mergeCell ref="A76:E76"/>
    <mergeCell ref="A80:C80"/>
    <mergeCell ref="A81:D81"/>
    <mergeCell ref="A82:E82"/>
    <mergeCell ref="A88:D88"/>
    <mergeCell ref="A89:D89"/>
    <mergeCell ref="A90:E90"/>
    <mergeCell ref="B101:C101"/>
    <mergeCell ref="A102:D102"/>
    <mergeCell ref="A103:D103"/>
    <mergeCell ref="B104:D104"/>
    <mergeCell ref="B105:D105"/>
    <mergeCell ref="A111:D111"/>
    <mergeCell ref="A112:E112"/>
    <mergeCell ref="A113:D113"/>
    <mergeCell ref="B106:D106"/>
    <mergeCell ref="B107:D107"/>
    <mergeCell ref="B108:D108"/>
    <mergeCell ref="A109:D109"/>
    <mergeCell ref="B110:D110"/>
  </mergeCells>
  <hyperlinks>
    <hyperlink ref="B36" r:id="rId1"/>
  </hyperlinks>
  <printOptions horizontalCentered="1"/>
  <pageMargins left="0.31527777777777799" right="0.31527777777777799" top="0.35416666666666702" bottom="1.02847222222222" header="0.511811023622047" footer="0.511811023622047"/>
  <pageSetup paperSize="9" scale="38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view="pageBreakPreview" topLeftCell="A78" zoomScaleNormal="115" workbookViewId="0">
      <selection activeCell="H9" sqref="H9"/>
    </sheetView>
  </sheetViews>
  <sheetFormatPr defaultColWidth="9.140625" defaultRowHeight="15.75" x14ac:dyDescent="0.25"/>
  <cols>
    <col min="1" max="1" width="8.7109375" style="57" customWidth="1"/>
    <col min="2" max="2" width="72.7109375" style="58" customWidth="1"/>
    <col min="3" max="3" width="15.7109375" style="58" customWidth="1"/>
    <col min="4" max="4" width="15.7109375" style="59" customWidth="1"/>
    <col min="5" max="5" width="15.7109375" style="60" customWidth="1"/>
    <col min="6" max="16384" width="9.140625" style="61"/>
  </cols>
  <sheetData>
    <row r="1" spans="1:5" x14ac:dyDescent="0.25">
      <c r="A1" s="224"/>
      <c r="B1" s="224"/>
      <c r="C1" s="224"/>
      <c r="D1" s="224"/>
      <c r="E1" s="224"/>
    </row>
    <row r="2" spans="1:5" ht="16.5" customHeight="1" x14ac:dyDescent="0.25">
      <c r="A2" s="225"/>
      <c r="B2" s="225"/>
      <c r="C2" s="225"/>
      <c r="D2" s="225"/>
      <c r="E2" s="225"/>
    </row>
    <row r="3" spans="1:5" x14ac:dyDescent="0.25">
      <c r="A3" s="226" t="s">
        <v>91</v>
      </c>
      <c r="B3" s="226"/>
      <c r="C3" s="226"/>
      <c r="D3" s="226"/>
      <c r="E3" s="226"/>
    </row>
    <row r="4" spans="1:5" ht="15" customHeight="1" x14ac:dyDescent="0.25">
      <c r="A4" s="62" t="s">
        <v>92</v>
      </c>
      <c r="B4" s="63" t="s">
        <v>93</v>
      </c>
      <c r="C4" s="227">
        <v>2025</v>
      </c>
      <c r="D4" s="227"/>
      <c r="E4" s="227"/>
    </row>
    <row r="5" spans="1:5" ht="15" customHeight="1" x14ac:dyDescent="0.25">
      <c r="A5" s="62" t="s">
        <v>94</v>
      </c>
      <c r="B5" s="63" t="s">
        <v>80</v>
      </c>
      <c r="C5" s="220" t="s">
        <v>95</v>
      </c>
      <c r="D5" s="220"/>
      <c r="E5" s="220"/>
    </row>
    <row r="6" spans="1:5" ht="15.75" customHeight="1" x14ac:dyDescent="0.25">
      <c r="A6" s="62" t="s">
        <v>96</v>
      </c>
      <c r="B6" s="63" t="s">
        <v>97</v>
      </c>
      <c r="C6" s="231" t="s">
        <v>217</v>
      </c>
      <c r="D6" s="231"/>
      <c r="E6" s="231"/>
    </row>
    <row r="7" spans="1:5" x14ac:dyDescent="0.25">
      <c r="A7" s="62"/>
      <c r="B7" s="63" t="s">
        <v>99</v>
      </c>
      <c r="C7" s="220">
        <v>12</v>
      </c>
      <c r="D7" s="220"/>
      <c r="E7" s="220"/>
    </row>
    <row r="8" spans="1:5" x14ac:dyDescent="0.25">
      <c r="A8" s="221" t="s">
        <v>100</v>
      </c>
      <c r="B8" s="221"/>
      <c r="C8" s="221"/>
      <c r="D8" s="221"/>
      <c r="E8" s="221"/>
    </row>
    <row r="9" spans="1:5" x14ac:dyDescent="0.25">
      <c r="A9" s="222" t="s">
        <v>101</v>
      </c>
      <c r="B9" s="222"/>
      <c r="C9" s="222"/>
      <c r="D9" s="222"/>
      <c r="E9" s="222"/>
    </row>
    <row r="10" spans="1:5" ht="15.75" customHeight="1" x14ac:dyDescent="0.25">
      <c r="A10" s="223" t="s">
        <v>102</v>
      </c>
      <c r="B10" s="223"/>
      <c r="C10" s="223"/>
      <c r="D10" s="223"/>
      <c r="E10" s="223"/>
    </row>
    <row r="11" spans="1:5" ht="30" customHeight="1" x14ac:dyDescent="0.25">
      <c r="A11" s="215" t="s">
        <v>103</v>
      </c>
      <c r="B11" s="215"/>
      <c r="C11" s="215"/>
      <c r="D11" s="215"/>
      <c r="E11" s="65" t="s">
        <v>104</v>
      </c>
    </row>
    <row r="12" spans="1:5" ht="15.75" customHeight="1" x14ac:dyDescent="0.25">
      <c r="A12" s="62">
        <v>1</v>
      </c>
      <c r="B12" s="66" t="s">
        <v>105</v>
      </c>
      <c r="C12" s="216" t="s">
        <v>95</v>
      </c>
      <c r="D12" s="216"/>
      <c r="E12" s="216"/>
    </row>
    <row r="13" spans="1:5" ht="30" customHeight="1" x14ac:dyDescent="0.25">
      <c r="A13" s="62">
        <v>2</v>
      </c>
      <c r="B13" s="66" t="s">
        <v>106</v>
      </c>
      <c r="C13" s="217">
        <v>1803.43</v>
      </c>
      <c r="D13" s="217"/>
      <c r="E13" s="217"/>
    </row>
    <row r="14" spans="1:5" ht="15.75" customHeight="1" x14ac:dyDescent="0.25">
      <c r="A14" s="62">
        <v>3</v>
      </c>
      <c r="B14" s="66" t="s">
        <v>107</v>
      </c>
      <c r="C14" s="232" t="s">
        <v>221</v>
      </c>
      <c r="D14" s="232"/>
      <c r="E14" s="232"/>
    </row>
    <row r="15" spans="1:5" x14ac:dyDescent="0.25">
      <c r="A15" s="62">
        <v>4</v>
      </c>
      <c r="B15" s="67" t="s">
        <v>109</v>
      </c>
      <c r="C15" s="230">
        <v>45805</v>
      </c>
      <c r="D15" s="230"/>
      <c r="E15" s="230"/>
    </row>
    <row r="16" spans="1:5" x14ac:dyDescent="0.25">
      <c r="A16" s="205" t="s">
        <v>110</v>
      </c>
      <c r="B16" s="205"/>
      <c r="C16" s="205"/>
      <c r="D16" s="205"/>
      <c r="E16" s="205"/>
    </row>
    <row r="17" spans="1:5" ht="15.75" customHeight="1" x14ac:dyDescent="0.25">
      <c r="A17" s="68">
        <v>1</v>
      </c>
      <c r="B17" s="213" t="s">
        <v>111</v>
      </c>
      <c r="C17" s="213"/>
      <c r="D17" s="213"/>
      <c r="E17" s="69" t="s">
        <v>104</v>
      </c>
    </row>
    <row r="18" spans="1:5" ht="15.75" customHeight="1" x14ac:dyDescent="0.25">
      <c r="A18" s="70" t="s">
        <v>92</v>
      </c>
      <c r="B18" s="71" t="s">
        <v>112</v>
      </c>
      <c r="C18" s="41"/>
      <c r="D18" s="72"/>
      <c r="E18" s="73">
        <f>C13</f>
        <v>1803.43</v>
      </c>
    </row>
    <row r="19" spans="1:5" ht="15.75" customHeight="1" x14ac:dyDescent="0.25">
      <c r="A19" s="70" t="s">
        <v>94</v>
      </c>
      <c r="B19" s="71" t="s">
        <v>113</v>
      </c>
      <c r="C19" s="74">
        <v>0</v>
      </c>
      <c r="D19" s="75">
        <v>1518</v>
      </c>
      <c r="E19" s="73">
        <f>D19*C19</f>
        <v>0</v>
      </c>
    </row>
    <row r="20" spans="1:5" ht="15.75" customHeight="1" x14ac:dyDescent="0.25">
      <c r="A20" s="70" t="s">
        <v>96</v>
      </c>
      <c r="B20" s="71" t="s">
        <v>114</v>
      </c>
      <c r="C20" s="74">
        <v>0</v>
      </c>
      <c r="D20" s="76"/>
      <c r="E20" s="73">
        <v>0</v>
      </c>
    </row>
    <row r="21" spans="1:5" ht="15.75" customHeight="1" x14ac:dyDescent="0.25">
      <c r="A21" s="70"/>
      <c r="B21" s="214" t="s">
        <v>115</v>
      </c>
      <c r="C21" s="214"/>
      <c r="D21" s="214"/>
      <c r="E21" s="73">
        <f>E18+E19+E20</f>
        <v>1803.43</v>
      </c>
    </row>
    <row r="22" spans="1:5" x14ac:dyDescent="0.25">
      <c r="A22" s="70" t="s">
        <v>116</v>
      </c>
      <c r="B22" s="71" t="s">
        <v>117</v>
      </c>
      <c r="C22" s="74">
        <v>0.3</v>
      </c>
      <c r="D22" s="75">
        <f>E21</f>
        <v>1803.43</v>
      </c>
      <c r="E22" s="73">
        <f>D22*C22</f>
        <v>541.029</v>
      </c>
    </row>
    <row r="23" spans="1:5" ht="15.75" customHeight="1" x14ac:dyDescent="0.25">
      <c r="A23" s="206" t="s">
        <v>118</v>
      </c>
      <c r="B23" s="206"/>
      <c r="C23" s="206"/>
      <c r="D23" s="206"/>
      <c r="E23" s="77">
        <f>SUM(E21:E22)</f>
        <v>2344.4589999999998</v>
      </c>
    </row>
    <row r="24" spans="1:5" x14ac:dyDescent="0.25">
      <c r="A24" s="205" t="s">
        <v>119</v>
      </c>
      <c r="B24" s="205"/>
      <c r="C24" s="205"/>
      <c r="D24" s="205"/>
      <c r="E24" s="205"/>
    </row>
    <row r="25" spans="1:5" ht="30" x14ac:dyDescent="0.25">
      <c r="A25" s="78" t="s">
        <v>120</v>
      </c>
      <c r="B25" s="79" t="s">
        <v>121</v>
      </c>
      <c r="C25" s="80" t="s">
        <v>122</v>
      </c>
      <c r="D25" s="81"/>
      <c r="E25" s="82" t="s">
        <v>104</v>
      </c>
    </row>
    <row r="26" spans="1:5" x14ac:dyDescent="0.25">
      <c r="A26" s="83" t="s">
        <v>92</v>
      </c>
      <c r="B26" s="84" t="s">
        <v>123</v>
      </c>
      <c r="C26" s="85">
        <f>E23</f>
        <v>2344.4589999999998</v>
      </c>
      <c r="D26" s="86">
        <f>1/12</f>
        <v>8.3333333333333329E-2</v>
      </c>
      <c r="E26" s="87">
        <f>(C26)*D26</f>
        <v>195.37158333333332</v>
      </c>
    </row>
    <row r="27" spans="1:5" x14ac:dyDescent="0.25">
      <c r="A27" s="83" t="s">
        <v>94</v>
      </c>
      <c r="B27" s="88" t="s">
        <v>219</v>
      </c>
      <c r="C27" s="85">
        <f>E23</f>
        <v>2344.4589999999998</v>
      </c>
      <c r="D27" s="86">
        <v>0.1111</v>
      </c>
      <c r="E27" s="87">
        <f>(C27)*D27</f>
        <v>260.4693949</v>
      </c>
    </row>
    <row r="28" spans="1:5" ht="15.75" customHeight="1" x14ac:dyDescent="0.25">
      <c r="A28" s="208" t="s">
        <v>125</v>
      </c>
      <c r="B28" s="208"/>
      <c r="C28" s="208"/>
      <c r="D28" s="89">
        <f>SUM(D26:D27)</f>
        <v>0.19443333333333335</v>
      </c>
      <c r="E28" s="90">
        <f>SUM(E26:E27)</f>
        <v>455.84097823333332</v>
      </c>
    </row>
    <row r="29" spans="1:5" ht="30" customHeight="1" x14ac:dyDescent="0.25">
      <c r="A29" s="212" t="s">
        <v>126</v>
      </c>
      <c r="B29" s="212"/>
      <c r="C29" s="212"/>
      <c r="D29" s="212"/>
      <c r="E29" s="212"/>
    </row>
    <row r="30" spans="1:5" ht="30" x14ac:dyDescent="0.25">
      <c r="A30" s="91" t="s">
        <v>127</v>
      </c>
      <c r="B30" s="92" t="s">
        <v>128</v>
      </c>
      <c r="C30" s="93" t="s">
        <v>122</v>
      </c>
      <c r="D30" s="94"/>
      <c r="E30" s="95" t="s">
        <v>104</v>
      </c>
    </row>
    <row r="31" spans="1:5" x14ac:dyDescent="0.25">
      <c r="A31" s="83" t="s">
        <v>92</v>
      </c>
      <c r="B31" s="96" t="s">
        <v>129</v>
      </c>
      <c r="C31" s="85">
        <f t="shared" ref="C31:C38" si="0">E$23+E$28</f>
        <v>2800.2999782333331</v>
      </c>
      <c r="D31" s="86">
        <v>0.2</v>
      </c>
      <c r="E31" s="87">
        <f t="shared" ref="E31:E38" si="1">C31*D31</f>
        <v>560.05999564666661</v>
      </c>
    </row>
    <row r="32" spans="1:5" x14ac:dyDescent="0.25">
      <c r="A32" s="83" t="s">
        <v>94</v>
      </c>
      <c r="B32" s="96" t="s">
        <v>130</v>
      </c>
      <c r="C32" s="85">
        <f t="shared" si="0"/>
        <v>2800.2999782333331</v>
      </c>
      <c r="D32" s="97">
        <v>2.5000000000000001E-2</v>
      </c>
      <c r="E32" s="87">
        <f t="shared" si="1"/>
        <v>70.007499455833326</v>
      </c>
    </row>
    <row r="33" spans="1:5" ht="45" x14ac:dyDescent="0.25">
      <c r="A33" s="83" t="s">
        <v>96</v>
      </c>
      <c r="B33" s="98" t="s">
        <v>131</v>
      </c>
      <c r="C33" s="85">
        <f t="shared" si="0"/>
        <v>2800.2999782333331</v>
      </c>
      <c r="D33" s="97">
        <v>0.06</v>
      </c>
      <c r="E33" s="87">
        <f t="shared" si="1"/>
        <v>168.01799869399997</v>
      </c>
    </row>
    <row r="34" spans="1:5" x14ac:dyDescent="0.25">
      <c r="A34" s="83" t="s">
        <v>116</v>
      </c>
      <c r="B34" s="96" t="s">
        <v>132</v>
      </c>
      <c r="C34" s="85">
        <f t="shared" si="0"/>
        <v>2800.2999782333331</v>
      </c>
      <c r="D34" s="97">
        <v>1.4999999999999999E-2</v>
      </c>
      <c r="E34" s="87">
        <f t="shared" si="1"/>
        <v>42.004499673499993</v>
      </c>
    </row>
    <row r="35" spans="1:5" x14ac:dyDescent="0.25">
      <c r="A35" s="83" t="s">
        <v>133</v>
      </c>
      <c r="B35" s="96" t="s">
        <v>134</v>
      </c>
      <c r="C35" s="85">
        <f t="shared" si="0"/>
        <v>2800.2999782333331</v>
      </c>
      <c r="D35" s="97">
        <v>0.01</v>
      </c>
      <c r="E35" s="87">
        <f t="shared" si="1"/>
        <v>28.002999782333333</v>
      </c>
    </row>
    <row r="36" spans="1:5" x14ac:dyDescent="0.25">
      <c r="A36" s="83" t="s">
        <v>135</v>
      </c>
      <c r="B36" s="99" t="s">
        <v>136</v>
      </c>
      <c r="C36" s="85">
        <f t="shared" si="0"/>
        <v>2800.2999782333331</v>
      </c>
      <c r="D36" s="97">
        <v>6.0000000000000001E-3</v>
      </c>
      <c r="E36" s="87">
        <f t="shared" si="1"/>
        <v>16.8017998694</v>
      </c>
    </row>
    <row r="37" spans="1:5" ht="30" x14ac:dyDescent="0.25">
      <c r="A37" s="83" t="s">
        <v>137</v>
      </c>
      <c r="B37" s="98" t="s">
        <v>138</v>
      </c>
      <c r="C37" s="85">
        <f t="shared" si="0"/>
        <v>2800.2999782333331</v>
      </c>
      <c r="D37" s="97">
        <v>2E-3</v>
      </c>
      <c r="E37" s="87">
        <f t="shared" si="1"/>
        <v>5.6005999564666666</v>
      </c>
    </row>
    <row r="38" spans="1:5" x14ac:dyDescent="0.25">
      <c r="A38" s="83" t="s">
        <v>139</v>
      </c>
      <c r="B38" s="96" t="s">
        <v>140</v>
      </c>
      <c r="C38" s="85">
        <f t="shared" si="0"/>
        <v>2800.2999782333331</v>
      </c>
      <c r="D38" s="97">
        <v>0.08</v>
      </c>
      <c r="E38" s="87">
        <f t="shared" si="1"/>
        <v>224.02399825866667</v>
      </c>
    </row>
    <row r="39" spans="1:5" ht="15.75" customHeight="1" x14ac:dyDescent="0.25">
      <c r="A39" s="208" t="s">
        <v>125</v>
      </c>
      <c r="B39" s="208"/>
      <c r="C39" s="208"/>
      <c r="D39" s="100">
        <f>SUM(D31:D38)</f>
        <v>0.39800000000000008</v>
      </c>
      <c r="E39" s="90">
        <f>SUM(E31:E38)</f>
        <v>1114.5193913368666</v>
      </c>
    </row>
    <row r="40" spans="1:5" x14ac:dyDescent="0.25">
      <c r="A40" s="209" t="s">
        <v>141</v>
      </c>
      <c r="B40" s="209"/>
      <c r="C40" s="209"/>
      <c r="D40" s="209"/>
      <c r="E40" s="209"/>
    </row>
    <row r="41" spans="1:5" ht="30" x14ac:dyDescent="0.25">
      <c r="A41" s="101" t="s">
        <v>142</v>
      </c>
      <c r="B41" s="102" t="s">
        <v>143</v>
      </c>
      <c r="C41" s="80" t="s">
        <v>122</v>
      </c>
      <c r="D41" s="81"/>
      <c r="E41" s="82" t="s">
        <v>104</v>
      </c>
    </row>
    <row r="42" spans="1:5" ht="15.75" customHeight="1" x14ac:dyDescent="0.25">
      <c r="A42" s="103" t="s">
        <v>92</v>
      </c>
      <c r="B42" s="104" t="s">
        <v>144</v>
      </c>
      <c r="C42" s="105">
        <v>3</v>
      </c>
      <c r="D42" s="104"/>
      <c r="E42" s="106">
        <f>(C13*0.06)-(32*C42)</f>
        <v>12.205799999999996</v>
      </c>
    </row>
    <row r="43" spans="1:5" ht="15.75" customHeight="1" x14ac:dyDescent="0.25">
      <c r="A43" s="83" t="s">
        <v>94</v>
      </c>
      <c r="B43" s="84" t="s">
        <v>145</v>
      </c>
      <c r="C43" s="107">
        <v>44</v>
      </c>
      <c r="D43" s="108"/>
      <c r="E43" s="87">
        <f>(C43*15.21)-((C43*15.21)*1%)</f>
        <v>662.54759999999999</v>
      </c>
    </row>
    <row r="44" spans="1:5" ht="15.75" customHeight="1" x14ac:dyDescent="0.25">
      <c r="A44" s="83" t="s">
        <v>96</v>
      </c>
      <c r="B44" s="84" t="s">
        <v>146</v>
      </c>
      <c r="C44" s="107">
        <f>C13*(16-1)/100</f>
        <v>270.5145</v>
      </c>
      <c r="D44" s="108"/>
      <c r="E44" s="87">
        <f>C44/12</f>
        <v>22.542874999999999</v>
      </c>
    </row>
    <row r="45" spans="1:5" ht="15.75" customHeight="1" x14ac:dyDescent="0.25">
      <c r="A45" s="83" t="s">
        <v>116</v>
      </c>
      <c r="B45" s="109" t="s">
        <v>147</v>
      </c>
      <c r="C45" s="107">
        <v>15.06</v>
      </c>
      <c r="D45" s="108"/>
      <c r="E45" s="87">
        <f>C45</f>
        <v>15.06</v>
      </c>
    </row>
    <row r="46" spans="1:5" ht="15.75" customHeight="1" x14ac:dyDescent="0.25">
      <c r="A46" s="116" t="s">
        <v>133</v>
      </c>
      <c r="B46" s="117" t="s">
        <v>148</v>
      </c>
      <c r="C46" s="156"/>
      <c r="D46" s="157"/>
      <c r="E46" s="73">
        <f>(((E18+E22)*26)+((E18)*5))/1000*0.21</f>
        <v>14.694347639999997</v>
      </c>
    </row>
    <row r="47" spans="1:5" ht="15.75" customHeight="1" x14ac:dyDescent="0.25">
      <c r="A47" s="208" t="s">
        <v>149</v>
      </c>
      <c r="B47" s="208"/>
      <c r="C47" s="208"/>
      <c r="D47" s="208"/>
      <c r="E47" s="90">
        <f>SUM(E42:E46)</f>
        <v>727.05062263999992</v>
      </c>
    </row>
    <row r="48" spans="1:5" ht="15.75" customHeight="1" x14ac:dyDescent="0.25">
      <c r="A48" s="209" t="s">
        <v>150</v>
      </c>
      <c r="B48" s="209"/>
      <c r="C48" s="209"/>
      <c r="D48" s="209"/>
      <c r="E48" s="209"/>
    </row>
    <row r="49" spans="1:5" ht="15.75" customHeight="1" x14ac:dyDescent="0.25">
      <c r="A49" s="64" t="s">
        <v>120</v>
      </c>
      <c r="B49" s="110" t="s">
        <v>151</v>
      </c>
      <c r="C49" s="111"/>
      <c r="D49" s="111"/>
      <c r="E49" s="112">
        <f>E28</f>
        <v>455.84097823333332</v>
      </c>
    </row>
    <row r="50" spans="1:5" ht="15.75" customHeight="1" x14ac:dyDescent="0.25">
      <c r="A50" s="64" t="s">
        <v>127</v>
      </c>
      <c r="B50" s="110" t="s">
        <v>152</v>
      </c>
      <c r="C50" s="111"/>
      <c r="D50" s="111"/>
      <c r="E50" s="112">
        <f>E39</f>
        <v>1114.5193913368666</v>
      </c>
    </row>
    <row r="51" spans="1:5" ht="15.75" customHeight="1" x14ac:dyDescent="0.25">
      <c r="A51" s="64" t="s">
        <v>142</v>
      </c>
      <c r="B51" s="110" t="s">
        <v>153</v>
      </c>
      <c r="C51" s="111"/>
      <c r="D51" s="111"/>
      <c r="E51" s="112">
        <f>E47</f>
        <v>727.05062263999992</v>
      </c>
    </row>
    <row r="52" spans="1:5" ht="15.75" customHeight="1" x14ac:dyDescent="0.25">
      <c r="A52" s="204" t="s">
        <v>154</v>
      </c>
      <c r="B52" s="204"/>
      <c r="C52" s="204"/>
      <c r="D52" s="204"/>
      <c r="E52" s="77">
        <f>SUM(E49:E51)</f>
        <v>2297.4109922101998</v>
      </c>
    </row>
    <row r="53" spans="1:5" ht="15.75" customHeight="1" x14ac:dyDescent="0.25">
      <c r="A53" s="205" t="s">
        <v>155</v>
      </c>
      <c r="B53" s="205"/>
      <c r="C53" s="205"/>
      <c r="D53" s="205"/>
      <c r="E53" s="205"/>
    </row>
    <row r="54" spans="1:5" ht="30" customHeight="1" x14ac:dyDescent="0.25">
      <c r="A54" s="91" t="s">
        <v>156</v>
      </c>
      <c r="B54" s="113" t="s">
        <v>157</v>
      </c>
      <c r="C54" s="114" t="s">
        <v>122</v>
      </c>
      <c r="D54" s="115"/>
      <c r="E54" s="95" t="s">
        <v>104</v>
      </c>
    </row>
    <row r="55" spans="1:5" ht="15.75" customHeight="1" x14ac:dyDescent="0.25">
      <c r="A55" s="83" t="s">
        <v>92</v>
      </c>
      <c r="B55" s="84" t="s">
        <v>158</v>
      </c>
      <c r="C55" s="85">
        <f>E$23+E28</f>
        <v>2800.2999782333331</v>
      </c>
      <c r="D55" s="86">
        <f>100%*(1/12)*5.55%</f>
        <v>4.6249999999999998E-3</v>
      </c>
      <c r="E55" s="87">
        <f>C55*D55</f>
        <v>12.951387399329166</v>
      </c>
    </row>
    <row r="56" spans="1:5" ht="15.75" customHeight="1" x14ac:dyDescent="0.25">
      <c r="A56" s="116" t="s">
        <v>94</v>
      </c>
      <c r="B56" s="117" t="s">
        <v>159</v>
      </c>
      <c r="C56" s="159">
        <f>E$23+E28</f>
        <v>2800.2999782333331</v>
      </c>
      <c r="D56" s="74">
        <v>4.0000000000000002E-4</v>
      </c>
      <c r="E56" s="73">
        <f>C56*D56</f>
        <v>1.1201199912933333</v>
      </c>
    </row>
    <row r="57" spans="1:5" ht="15.75" customHeight="1" x14ac:dyDescent="0.25">
      <c r="A57" s="83" t="s">
        <v>96</v>
      </c>
      <c r="B57" s="84" t="s">
        <v>160</v>
      </c>
      <c r="C57" s="85">
        <f>E$23+E28</f>
        <v>2800.2999782333331</v>
      </c>
      <c r="D57" s="86">
        <v>1.9400000000000001E-2</v>
      </c>
      <c r="E57" s="87">
        <f>C57*D57</f>
        <v>54.325819577726662</v>
      </c>
    </row>
    <row r="58" spans="1:5" ht="30" customHeight="1" x14ac:dyDescent="0.25">
      <c r="A58" s="83" t="s">
        <v>116</v>
      </c>
      <c r="B58" s="118" t="s">
        <v>222</v>
      </c>
      <c r="C58" s="85">
        <f>E$23+E28</f>
        <v>2800.2999782333331</v>
      </c>
      <c r="D58" s="86">
        <f>D39*D57</f>
        <v>7.7212000000000018E-3</v>
      </c>
      <c r="E58" s="87">
        <f>C58*D58</f>
        <v>21.621676191935219</v>
      </c>
    </row>
    <row r="59" spans="1:5" ht="32.25" customHeight="1" x14ac:dyDescent="0.25">
      <c r="A59" s="83" t="s">
        <v>133</v>
      </c>
      <c r="B59" s="84" t="s">
        <v>162</v>
      </c>
      <c r="C59" s="85">
        <f>E$23+E28</f>
        <v>2800.2999782333331</v>
      </c>
      <c r="D59" s="86">
        <v>0.04</v>
      </c>
      <c r="E59" s="87">
        <f>C59*D59</f>
        <v>112.01199912933333</v>
      </c>
    </row>
    <row r="60" spans="1:5" ht="15.75" customHeight="1" x14ac:dyDescent="0.25">
      <c r="A60" s="211" t="s">
        <v>163</v>
      </c>
      <c r="B60" s="211"/>
      <c r="C60" s="211"/>
      <c r="D60" s="119">
        <f>SUM(D55:D59)</f>
        <v>7.2146200000000008E-2</v>
      </c>
      <c r="E60" s="120">
        <f>SUM(E55:E59)</f>
        <v>202.03100228961773</v>
      </c>
    </row>
    <row r="61" spans="1:5" ht="15.75" customHeight="1" x14ac:dyDescent="0.25">
      <c r="A61" s="205" t="s">
        <v>164</v>
      </c>
      <c r="B61" s="205"/>
      <c r="C61" s="205"/>
      <c r="D61" s="205"/>
      <c r="E61" s="205"/>
    </row>
    <row r="62" spans="1:5" ht="30" x14ac:dyDescent="0.25">
      <c r="A62" s="91" t="s">
        <v>165</v>
      </c>
      <c r="B62" s="121" t="s">
        <v>166</v>
      </c>
      <c r="C62" s="114" t="s">
        <v>122</v>
      </c>
      <c r="D62" s="122"/>
      <c r="E62" s="95" t="s">
        <v>104</v>
      </c>
    </row>
    <row r="63" spans="1:5" x14ac:dyDescent="0.25">
      <c r="A63" s="83" t="s">
        <v>92</v>
      </c>
      <c r="B63" s="84" t="s">
        <v>167</v>
      </c>
      <c r="C63" s="123">
        <f>E$23+E$52+E$60+E84</f>
        <v>4914.6099528331506</v>
      </c>
      <c r="D63" s="86">
        <f>D27/12</f>
        <v>9.2583333333333337E-3</v>
      </c>
      <c r="E63" s="87">
        <f t="shared" ref="E63:E69" si="2">C63*D63</f>
        <v>45.50109714664692</v>
      </c>
    </row>
    <row r="64" spans="1:5" x14ac:dyDescent="0.25">
      <c r="A64" s="83" t="s">
        <v>94</v>
      </c>
      <c r="B64" s="84" t="s">
        <v>168</v>
      </c>
      <c r="C64" s="123">
        <f>E$23+E$52+E$60+E84</f>
        <v>4914.6099528331506</v>
      </c>
      <c r="D64" s="86">
        <v>1.3899999999999999E-2</v>
      </c>
      <c r="E64" s="87">
        <f t="shared" si="2"/>
        <v>68.313078344380784</v>
      </c>
    </row>
    <row r="65" spans="1:5" x14ac:dyDescent="0.25">
      <c r="A65" s="83" t="s">
        <v>96</v>
      </c>
      <c r="B65" s="84" t="s">
        <v>169</v>
      </c>
      <c r="C65" s="123">
        <f>E$23+E$52+E$60+E84</f>
        <v>4914.6099528331506</v>
      </c>
      <c r="D65" s="86">
        <v>1.2999999999999999E-3</v>
      </c>
      <c r="E65" s="87">
        <f t="shared" si="2"/>
        <v>6.3889929386830957</v>
      </c>
    </row>
    <row r="66" spans="1:5" x14ac:dyDescent="0.25">
      <c r="A66" s="83" t="s">
        <v>116</v>
      </c>
      <c r="B66" s="84" t="s">
        <v>170</v>
      </c>
      <c r="C66" s="123">
        <f>E$23+E$52+E$60+E84</f>
        <v>4914.6099528331506</v>
      </c>
      <c r="D66" s="86">
        <v>2.0000000000000001E-4</v>
      </c>
      <c r="E66" s="87">
        <f t="shared" si="2"/>
        <v>0.98292199056663021</v>
      </c>
    </row>
    <row r="67" spans="1:5" x14ac:dyDescent="0.25">
      <c r="A67" s="83" t="s">
        <v>133</v>
      </c>
      <c r="B67" s="84" t="s">
        <v>171</v>
      </c>
      <c r="C67" s="123">
        <f>E$23+E$52+E$60+E84</f>
        <v>4914.6099528331506</v>
      </c>
      <c r="D67" s="86">
        <v>2.8E-3</v>
      </c>
      <c r="E67" s="87">
        <f t="shared" si="2"/>
        <v>13.760907867932822</v>
      </c>
    </row>
    <row r="68" spans="1:5" x14ac:dyDescent="0.25">
      <c r="A68" s="83" t="s">
        <v>135</v>
      </c>
      <c r="B68" s="84" t="s">
        <v>172</v>
      </c>
      <c r="C68" s="123">
        <f>E$23+E$52+E$60+E84</f>
        <v>4914.6099528331506</v>
      </c>
      <c r="D68" s="86">
        <v>2.9999999999999997E-4</v>
      </c>
      <c r="E68" s="87">
        <f t="shared" si="2"/>
        <v>1.4743829858499451</v>
      </c>
    </row>
    <row r="69" spans="1:5" x14ac:dyDescent="0.25">
      <c r="A69" s="83" t="s">
        <v>137</v>
      </c>
      <c r="B69" s="124" t="s">
        <v>173</v>
      </c>
      <c r="C69" s="123">
        <f>E$23+E$52+E$60+E84</f>
        <v>4914.6099528331506</v>
      </c>
      <c r="D69" s="86">
        <v>0</v>
      </c>
      <c r="E69" s="87">
        <f t="shared" si="2"/>
        <v>0</v>
      </c>
    </row>
    <row r="70" spans="1:5" ht="15.75" customHeight="1" x14ac:dyDescent="0.25">
      <c r="A70" s="208" t="s">
        <v>174</v>
      </c>
      <c r="B70" s="208"/>
      <c r="C70" s="208"/>
      <c r="D70" s="125">
        <f>SUM(D63:D69)</f>
        <v>2.7758333333333333E-2</v>
      </c>
      <c r="E70" s="90">
        <f>SUM(E63:E69)</f>
        <v>136.4213812740602</v>
      </c>
    </row>
    <row r="71" spans="1:5" ht="15.75" customHeight="1" x14ac:dyDescent="0.25">
      <c r="A71" s="209" t="s">
        <v>175</v>
      </c>
      <c r="B71" s="209"/>
      <c r="C71" s="209"/>
      <c r="D71" s="209"/>
      <c r="E71" s="209"/>
    </row>
    <row r="72" spans="1:5" x14ac:dyDescent="0.25">
      <c r="A72" s="91"/>
      <c r="B72" s="92" t="s">
        <v>175</v>
      </c>
      <c r="C72" s="118"/>
      <c r="D72" s="118"/>
      <c r="E72" s="95" t="s">
        <v>104</v>
      </c>
    </row>
    <row r="73" spans="1:5" x14ac:dyDescent="0.25">
      <c r="A73" s="116" t="s">
        <v>92</v>
      </c>
      <c r="B73" s="126" t="s">
        <v>176</v>
      </c>
      <c r="C73" s="67"/>
      <c r="D73" s="74"/>
      <c r="E73" s="73">
        <f>(7.71*1.5)*(15.21)</f>
        <v>175.90365</v>
      </c>
    </row>
    <row r="74" spans="1:5" x14ac:dyDescent="0.25">
      <c r="A74" s="116" t="s">
        <v>94</v>
      </c>
      <c r="B74" s="126" t="s">
        <v>177</v>
      </c>
      <c r="C74" s="67"/>
      <c r="D74" s="74">
        <f>D39</f>
        <v>0.39800000000000008</v>
      </c>
      <c r="E74" s="73">
        <f>E73*D74</f>
        <v>70.009652700000018</v>
      </c>
    </row>
    <row r="75" spans="1:5" ht="15.75" customHeight="1" x14ac:dyDescent="0.25">
      <c r="A75" s="208" t="s">
        <v>178</v>
      </c>
      <c r="B75" s="208"/>
      <c r="C75" s="208"/>
      <c r="D75" s="89">
        <f>D74</f>
        <v>0.39800000000000008</v>
      </c>
      <c r="E75" s="90">
        <f>SUM(E73:E74)</f>
        <v>245.91330270000003</v>
      </c>
    </row>
    <row r="76" spans="1:5" ht="15.75" customHeight="1" x14ac:dyDescent="0.25">
      <c r="A76" s="210" t="s">
        <v>179</v>
      </c>
      <c r="B76" s="210"/>
      <c r="C76" s="210"/>
      <c r="D76" s="210"/>
      <c r="E76" s="210"/>
    </row>
    <row r="77" spans="1:5" ht="15.75" customHeight="1" x14ac:dyDescent="0.25">
      <c r="A77" s="91">
        <v>4</v>
      </c>
      <c r="B77" s="127" t="s">
        <v>180</v>
      </c>
      <c r="C77" s="128"/>
      <c r="D77" s="71"/>
      <c r="E77" s="95" t="s">
        <v>104</v>
      </c>
    </row>
    <row r="78" spans="1:5" ht="15.75" customHeight="1" x14ac:dyDescent="0.25">
      <c r="A78" s="83" t="s">
        <v>165</v>
      </c>
      <c r="B78" s="84" t="s">
        <v>166</v>
      </c>
      <c r="C78" s="128"/>
      <c r="D78" s="86">
        <f>D70</f>
        <v>2.7758333333333333E-2</v>
      </c>
      <c r="E78" s="87">
        <f>E70</f>
        <v>136.4213812740602</v>
      </c>
    </row>
    <row r="79" spans="1:5" ht="15.75" customHeight="1" x14ac:dyDescent="0.25">
      <c r="A79" s="83" t="s">
        <v>181</v>
      </c>
      <c r="B79" s="84" t="s">
        <v>175</v>
      </c>
      <c r="C79" s="128"/>
      <c r="D79" s="86"/>
      <c r="E79" s="87">
        <f>E75</f>
        <v>245.91330270000003</v>
      </c>
    </row>
    <row r="80" spans="1:5" ht="15.75" customHeight="1" x14ac:dyDescent="0.25">
      <c r="A80" s="208" t="s">
        <v>125</v>
      </c>
      <c r="B80" s="208"/>
      <c r="C80" s="208"/>
      <c r="D80" s="89">
        <f>SUM(D78:D79)</f>
        <v>2.7758333333333333E-2</v>
      </c>
      <c r="E80" s="90">
        <f>SUM(E78:E79)</f>
        <v>382.33468397406023</v>
      </c>
    </row>
    <row r="81" spans="1:5" ht="15.75" customHeight="1" x14ac:dyDescent="0.25">
      <c r="A81" s="204" t="s">
        <v>182</v>
      </c>
      <c r="B81" s="204"/>
      <c r="C81" s="204"/>
      <c r="D81" s="204"/>
      <c r="E81" s="129">
        <f>SUM(E70+E75)</f>
        <v>382.33468397406023</v>
      </c>
    </row>
    <row r="82" spans="1:5" ht="15.75" customHeight="1" x14ac:dyDescent="0.25">
      <c r="A82" s="205" t="s">
        <v>183</v>
      </c>
      <c r="B82" s="205"/>
      <c r="C82" s="205"/>
      <c r="D82" s="205"/>
      <c r="E82" s="205"/>
    </row>
    <row r="83" spans="1:5" ht="15.75" customHeight="1" x14ac:dyDescent="0.25">
      <c r="A83" s="91">
        <v>5</v>
      </c>
      <c r="B83" s="113" t="s">
        <v>184</v>
      </c>
      <c r="C83" s="118"/>
      <c r="D83" s="118"/>
      <c r="E83" s="95" t="s">
        <v>104</v>
      </c>
    </row>
    <row r="84" spans="1:5" ht="15.75" customHeight="1" x14ac:dyDescent="0.25">
      <c r="A84" s="116" t="s">
        <v>92</v>
      </c>
      <c r="B84" s="117" t="s">
        <v>185</v>
      </c>
      <c r="C84" s="130"/>
      <c r="D84" s="131"/>
      <c r="E84" s="87">
        <f>'Uniformes '!H16</f>
        <v>70.708958333333328</v>
      </c>
    </row>
    <row r="85" spans="1:5" ht="15.75" customHeight="1" x14ac:dyDescent="0.25">
      <c r="A85" s="116" t="s">
        <v>94</v>
      </c>
      <c r="B85" s="117" t="s">
        <v>186</v>
      </c>
      <c r="C85" s="130"/>
      <c r="D85" s="131"/>
      <c r="E85" s="87">
        <f>Insumos!H34</f>
        <v>156.43062499999999</v>
      </c>
    </row>
    <row r="86" spans="1:5" ht="15.75" customHeight="1" x14ac:dyDescent="0.25">
      <c r="A86" s="116" t="s">
        <v>96</v>
      </c>
      <c r="B86" s="117" t="s">
        <v>187</v>
      </c>
      <c r="C86" s="130"/>
      <c r="D86" s="131"/>
      <c r="E86" s="87">
        <v>0</v>
      </c>
    </row>
    <row r="87" spans="1:5" ht="15.75" customHeight="1" x14ac:dyDescent="0.25">
      <c r="A87" s="116" t="s">
        <v>116</v>
      </c>
      <c r="B87" s="117" t="s">
        <v>188</v>
      </c>
      <c r="C87" s="130"/>
      <c r="D87" s="131"/>
      <c r="E87" s="87">
        <v>33.869999999999997</v>
      </c>
    </row>
    <row r="88" spans="1:5" ht="15.75" customHeight="1" x14ac:dyDescent="0.25">
      <c r="A88" s="206" t="s">
        <v>189</v>
      </c>
      <c r="B88" s="206"/>
      <c r="C88" s="206"/>
      <c r="D88" s="206"/>
      <c r="E88" s="77">
        <f>SUM(E84:E87)</f>
        <v>261.0095833333333</v>
      </c>
    </row>
    <row r="89" spans="1:5" ht="23.25" customHeight="1" x14ac:dyDescent="0.25">
      <c r="A89" s="207" t="s">
        <v>190</v>
      </c>
      <c r="B89" s="207"/>
      <c r="C89" s="207"/>
      <c r="D89" s="207"/>
      <c r="E89" s="132">
        <f>E88+E81+E60+E52+E23</f>
        <v>5487.2452618072111</v>
      </c>
    </row>
    <row r="90" spans="1:5" ht="19.5" customHeight="1" x14ac:dyDescent="0.25">
      <c r="A90" s="205" t="s">
        <v>191</v>
      </c>
      <c r="B90" s="205"/>
      <c r="C90" s="205"/>
      <c r="D90" s="205"/>
      <c r="E90" s="205"/>
    </row>
    <row r="91" spans="1:5" ht="30" x14ac:dyDescent="0.25">
      <c r="A91" s="91">
        <v>6</v>
      </c>
      <c r="B91" s="113" t="s">
        <v>192</v>
      </c>
      <c r="C91" s="93" t="s">
        <v>122</v>
      </c>
      <c r="D91" s="93"/>
      <c r="E91" s="95" t="s">
        <v>104</v>
      </c>
    </row>
    <row r="92" spans="1:5" x14ac:dyDescent="0.25">
      <c r="A92" s="83" t="s">
        <v>92</v>
      </c>
      <c r="B92" s="84" t="s">
        <v>193</v>
      </c>
      <c r="C92" s="133">
        <f>E89</f>
        <v>5487.2452618072111</v>
      </c>
      <c r="D92" s="86">
        <v>0.05</v>
      </c>
      <c r="E92" s="87">
        <f>C92*D92</f>
        <v>274.36226309036056</v>
      </c>
    </row>
    <row r="93" spans="1:5" x14ac:dyDescent="0.25">
      <c r="A93" s="83" t="s">
        <v>94</v>
      </c>
      <c r="B93" s="84" t="s">
        <v>194</v>
      </c>
      <c r="C93" s="133">
        <f>E89+E92</f>
        <v>5761.6075248975721</v>
      </c>
      <c r="D93" s="86">
        <v>0.1</v>
      </c>
      <c r="E93" s="87">
        <f>D93*C93</f>
        <v>576.16075248975721</v>
      </c>
    </row>
    <row r="94" spans="1:5" ht="30.75" customHeight="1" x14ac:dyDescent="0.25">
      <c r="A94" s="83"/>
      <c r="B94" s="134" t="s">
        <v>195</v>
      </c>
      <c r="C94" s="84"/>
      <c r="D94" s="86">
        <f>1-D101</f>
        <v>0.91349999999999998</v>
      </c>
      <c r="E94" s="87">
        <f>+E89+E92+E93</f>
        <v>6337.7682773873294</v>
      </c>
    </row>
    <row r="95" spans="1:5" x14ac:dyDescent="0.25">
      <c r="A95" s="83"/>
      <c r="B95" s="135"/>
      <c r="C95" s="136"/>
      <c r="D95" s="137"/>
      <c r="E95" s="138">
        <f>+E94/D94</f>
        <v>6937.8963080321064</v>
      </c>
    </row>
    <row r="96" spans="1:5" x14ac:dyDescent="0.25">
      <c r="A96" s="83" t="s">
        <v>96</v>
      </c>
      <c r="B96" s="124" t="s">
        <v>196</v>
      </c>
      <c r="C96" s="136"/>
      <c r="D96" s="139">
        <f>D98+D99+D100</f>
        <v>8.6499999999999994E-2</v>
      </c>
      <c r="E96" s="138"/>
    </row>
    <row r="97" spans="1:5" x14ac:dyDescent="0.25">
      <c r="A97" s="83" t="s">
        <v>197</v>
      </c>
      <c r="B97" s="124" t="s">
        <v>198</v>
      </c>
      <c r="C97" s="124"/>
      <c r="D97" s="140">
        <f>D98+D99</f>
        <v>3.6499999999999998E-2</v>
      </c>
      <c r="E97" s="87"/>
    </row>
    <row r="98" spans="1:5" x14ac:dyDescent="0.25">
      <c r="A98" s="83" t="s">
        <v>199</v>
      </c>
      <c r="B98" s="84" t="s">
        <v>200</v>
      </c>
      <c r="C98" s="107">
        <f>E95</f>
        <v>6937.8963080321064</v>
      </c>
      <c r="D98" s="86">
        <v>6.4999999999999997E-3</v>
      </c>
      <c r="E98" s="87">
        <f>C98*D98</f>
        <v>45.096326002208691</v>
      </c>
    </row>
    <row r="99" spans="1:5" x14ac:dyDescent="0.25">
      <c r="A99" s="83" t="s">
        <v>201</v>
      </c>
      <c r="B99" s="84" t="s">
        <v>202</v>
      </c>
      <c r="C99" s="107">
        <f>E95</f>
        <v>6937.8963080321064</v>
      </c>
      <c r="D99" s="86">
        <v>0.03</v>
      </c>
      <c r="E99" s="87">
        <f>C99*D99</f>
        <v>208.13688924096317</v>
      </c>
    </row>
    <row r="100" spans="1:5" x14ac:dyDescent="0.25">
      <c r="A100" s="141" t="s">
        <v>203</v>
      </c>
      <c r="B100" s="142" t="s">
        <v>204</v>
      </c>
      <c r="C100" s="143">
        <f>E95</f>
        <v>6937.8963080321064</v>
      </c>
      <c r="D100" s="144">
        <v>0.05</v>
      </c>
      <c r="E100" s="145">
        <f>C100*D100</f>
        <v>346.89481540160534</v>
      </c>
    </row>
    <row r="101" spans="1:5" x14ac:dyDescent="0.25">
      <c r="A101" s="146"/>
      <c r="B101" s="201" t="s">
        <v>205</v>
      </c>
      <c r="C101" s="201"/>
      <c r="D101" s="147">
        <f>D96</f>
        <v>8.6499999999999994E-2</v>
      </c>
      <c r="E101" s="148">
        <f>SUM(E98:E100)</f>
        <v>600.12803064477725</v>
      </c>
    </row>
    <row r="102" spans="1:5" ht="15.75" customHeight="1" x14ac:dyDescent="0.25">
      <c r="A102" s="202" t="s">
        <v>206</v>
      </c>
      <c r="B102" s="202"/>
      <c r="C102" s="202"/>
      <c r="D102" s="202"/>
      <c r="E102" s="149">
        <f>+E92+E93+E101</f>
        <v>1450.651046224895</v>
      </c>
    </row>
    <row r="103" spans="1:5" ht="15.75" customHeight="1" x14ac:dyDescent="0.25">
      <c r="A103" s="203" t="s">
        <v>207</v>
      </c>
      <c r="B103" s="203"/>
      <c r="C103" s="203"/>
      <c r="D103" s="203"/>
      <c r="E103" s="150" t="s">
        <v>104</v>
      </c>
    </row>
    <row r="104" spans="1:5" ht="15.75" customHeight="1" x14ac:dyDescent="0.25">
      <c r="A104" s="83" t="s">
        <v>92</v>
      </c>
      <c r="B104" s="199" t="s">
        <v>208</v>
      </c>
      <c r="C104" s="199"/>
      <c r="D104" s="199"/>
      <c r="E104" s="87">
        <f>+E23</f>
        <v>2344.4589999999998</v>
      </c>
    </row>
    <row r="105" spans="1:5" ht="15.75" customHeight="1" x14ac:dyDescent="0.25">
      <c r="A105" s="83" t="s">
        <v>94</v>
      </c>
      <c r="B105" s="199" t="s">
        <v>209</v>
      </c>
      <c r="C105" s="199"/>
      <c r="D105" s="199"/>
      <c r="E105" s="87">
        <f>+E52</f>
        <v>2297.4109922101998</v>
      </c>
    </row>
    <row r="106" spans="1:5" ht="15.75" customHeight="1" x14ac:dyDescent="0.25">
      <c r="A106" s="83" t="s">
        <v>96</v>
      </c>
      <c r="B106" s="199" t="s">
        <v>210</v>
      </c>
      <c r="C106" s="199"/>
      <c r="D106" s="199"/>
      <c r="E106" s="87">
        <f>E60</f>
        <v>202.03100228961773</v>
      </c>
    </row>
    <row r="107" spans="1:5" ht="15.75" customHeight="1" x14ac:dyDescent="0.25">
      <c r="A107" s="83" t="s">
        <v>116</v>
      </c>
      <c r="B107" s="199" t="s">
        <v>211</v>
      </c>
      <c r="C107" s="199"/>
      <c r="D107" s="199"/>
      <c r="E107" s="87">
        <f>E81</f>
        <v>382.33468397406023</v>
      </c>
    </row>
    <row r="108" spans="1:5" ht="15.75" customHeight="1" x14ac:dyDescent="0.25">
      <c r="A108" s="83" t="s">
        <v>133</v>
      </c>
      <c r="B108" s="199" t="s">
        <v>212</v>
      </c>
      <c r="C108" s="199"/>
      <c r="D108" s="199"/>
      <c r="E108" s="87">
        <f>E88</f>
        <v>261.0095833333333</v>
      </c>
    </row>
    <row r="109" spans="1:5" ht="15.75" customHeight="1" x14ac:dyDescent="0.25">
      <c r="A109" s="200" t="s">
        <v>213</v>
      </c>
      <c r="B109" s="200"/>
      <c r="C109" s="200"/>
      <c r="D109" s="200"/>
      <c r="E109" s="151">
        <f>SUM(E104:E108)</f>
        <v>5487.2452618072102</v>
      </c>
    </row>
    <row r="110" spans="1:5" ht="15.75" customHeight="1" x14ac:dyDescent="0.25">
      <c r="A110" s="83" t="s">
        <v>135</v>
      </c>
      <c r="B110" s="199" t="s">
        <v>214</v>
      </c>
      <c r="C110" s="199"/>
      <c r="D110" s="199"/>
      <c r="E110" s="87">
        <f>+E102</f>
        <v>1450.651046224895</v>
      </c>
    </row>
    <row r="111" spans="1:5" ht="16.5" customHeight="1" x14ac:dyDescent="0.25">
      <c r="A111" s="196" t="s">
        <v>215</v>
      </c>
      <c r="B111" s="196"/>
      <c r="C111" s="196"/>
      <c r="D111" s="196"/>
      <c r="E111" s="152">
        <f>+E109+E110</f>
        <v>6937.8963080321055</v>
      </c>
    </row>
    <row r="112" spans="1:5" x14ac:dyDescent="0.25">
      <c r="A112" s="197"/>
      <c r="B112" s="197"/>
      <c r="C112" s="197"/>
      <c r="D112" s="197"/>
      <c r="E112" s="197"/>
    </row>
    <row r="113" spans="1:5" ht="16.5" customHeight="1" x14ac:dyDescent="0.25">
      <c r="A113" s="198" t="s">
        <v>216</v>
      </c>
      <c r="B113" s="198"/>
      <c r="C113" s="198"/>
      <c r="D113" s="198"/>
      <c r="E113" s="153">
        <f>E111*2</f>
        <v>13875.792616064211</v>
      </c>
    </row>
    <row r="118" spans="1:5" x14ac:dyDescent="0.25">
      <c r="B118" s="61"/>
      <c r="C118" s="61"/>
    </row>
  </sheetData>
  <mergeCells count="53"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A11:D11"/>
    <mergeCell ref="C12:E12"/>
    <mergeCell ref="C13:E13"/>
    <mergeCell ref="C14:E14"/>
    <mergeCell ref="C15:E15"/>
    <mergeCell ref="A16:E16"/>
    <mergeCell ref="B17:D17"/>
    <mergeCell ref="B21:D21"/>
    <mergeCell ref="A23:D23"/>
    <mergeCell ref="A24:E24"/>
    <mergeCell ref="A28:C28"/>
    <mergeCell ref="A29:E29"/>
    <mergeCell ref="A39:C39"/>
    <mergeCell ref="A40:E40"/>
    <mergeCell ref="A47:D47"/>
    <mergeCell ref="A48:E48"/>
    <mergeCell ref="A52:D52"/>
    <mergeCell ref="A53:E53"/>
    <mergeCell ref="A60:C60"/>
    <mergeCell ref="A61:E61"/>
    <mergeCell ref="A70:C70"/>
    <mergeCell ref="A71:E71"/>
    <mergeCell ref="A75:C75"/>
    <mergeCell ref="A76:E76"/>
    <mergeCell ref="A80:C80"/>
    <mergeCell ref="A81:D81"/>
    <mergeCell ref="A82:E82"/>
    <mergeCell ref="A88:D88"/>
    <mergeCell ref="A89:D89"/>
    <mergeCell ref="A90:E90"/>
    <mergeCell ref="B101:C101"/>
    <mergeCell ref="A102:D102"/>
    <mergeCell ref="A103:D103"/>
    <mergeCell ref="B104:D104"/>
    <mergeCell ref="B105:D105"/>
    <mergeCell ref="A111:D111"/>
    <mergeCell ref="A112:E112"/>
    <mergeCell ref="A113:D113"/>
    <mergeCell ref="B106:D106"/>
    <mergeCell ref="B107:D107"/>
    <mergeCell ref="B108:D108"/>
    <mergeCell ref="A109:D109"/>
    <mergeCell ref="B110:D110"/>
  </mergeCells>
  <hyperlinks>
    <hyperlink ref="B36" r:id="rId1"/>
  </hyperlinks>
  <printOptions horizontalCentered="1"/>
  <pageMargins left="0.31527777777777799" right="0.31527777777777799" top="0.35416666666666702" bottom="1.02847222222222" header="0.511811023622047" footer="0.511811023622047"/>
  <pageSetup paperSize="9" scale="38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9"/>
  <sheetViews>
    <sheetView view="pageBreakPreview" topLeftCell="A67" zoomScaleNormal="115" workbookViewId="0">
      <selection activeCell="H9" sqref="H9"/>
    </sheetView>
  </sheetViews>
  <sheetFormatPr defaultColWidth="9.140625" defaultRowHeight="15.75" x14ac:dyDescent="0.25"/>
  <cols>
    <col min="1" max="1" width="8.7109375" style="57" customWidth="1"/>
    <col min="2" max="2" width="72.7109375" style="58" customWidth="1"/>
    <col min="3" max="3" width="15.7109375" style="58" customWidth="1"/>
    <col min="4" max="4" width="15.7109375" style="59" customWidth="1"/>
    <col min="5" max="5" width="15.7109375" style="60" customWidth="1"/>
    <col min="6" max="16384" width="9.140625" style="61"/>
  </cols>
  <sheetData>
    <row r="1" spans="1:5" x14ac:dyDescent="0.25">
      <c r="A1" s="224"/>
      <c r="B1" s="224"/>
      <c r="C1" s="224"/>
      <c r="D1" s="224"/>
      <c r="E1" s="224"/>
    </row>
    <row r="2" spans="1:5" ht="16.5" customHeight="1" x14ac:dyDescent="0.25">
      <c r="A2" s="225"/>
      <c r="B2" s="225"/>
      <c r="C2" s="225"/>
      <c r="D2" s="225"/>
      <c r="E2" s="225"/>
    </row>
    <row r="3" spans="1:5" x14ac:dyDescent="0.25">
      <c r="A3" s="226" t="s">
        <v>91</v>
      </c>
      <c r="B3" s="226"/>
      <c r="C3" s="226"/>
      <c r="D3" s="226"/>
      <c r="E3" s="226"/>
    </row>
    <row r="4" spans="1:5" ht="15" customHeight="1" x14ac:dyDescent="0.25">
      <c r="A4" s="62" t="s">
        <v>92</v>
      </c>
      <c r="B4" s="63" t="s">
        <v>93</v>
      </c>
      <c r="C4" s="227">
        <v>2025</v>
      </c>
      <c r="D4" s="227"/>
      <c r="E4" s="227"/>
    </row>
    <row r="5" spans="1:5" ht="15" customHeight="1" x14ac:dyDescent="0.25">
      <c r="A5" s="62" t="s">
        <v>94</v>
      </c>
      <c r="B5" s="63" t="s">
        <v>80</v>
      </c>
      <c r="C5" s="220" t="s">
        <v>95</v>
      </c>
      <c r="D5" s="220"/>
      <c r="E5" s="220"/>
    </row>
    <row r="6" spans="1:5" ht="15.75" customHeight="1" x14ac:dyDescent="0.25">
      <c r="A6" s="62" t="s">
        <v>96</v>
      </c>
      <c r="B6" s="63" t="s">
        <v>97</v>
      </c>
      <c r="C6" s="231" t="s">
        <v>223</v>
      </c>
      <c r="D6" s="231"/>
      <c r="E6" s="231"/>
    </row>
    <row r="7" spans="1:5" x14ac:dyDescent="0.25">
      <c r="A7" s="62"/>
      <c r="B7" s="63" t="s">
        <v>99</v>
      </c>
      <c r="C7" s="220">
        <v>12</v>
      </c>
      <c r="D7" s="220"/>
      <c r="E7" s="220"/>
    </row>
    <row r="8" spans="1:5" x14ac:dyDescent="0.25">
      <c r="A8" s="221" t="s">
        <v>100</v>
      </c>
      <c r="B8" s="221"/>
      <c r="C8" s="221"/>
      <c r="D8" s="221"/>
      <c r="E8" s="221"/>
    </row>
    <row r="9" spans="1:5" x14ac:dyDescent="0.25">
      <c r="A9" s="222" t="s">
        <v>101</v>
      </c>
      <c r="B9" s="222"/>
      <c r="C9" s="222"/>
      <c r="D9" s="222"/>
      <c r="E9" s="222"/>
    </row>
    <row r="10" spans="1:5" ht="15.75" customHeight="1" x14ac:dyDescent="0.25">
      <c r="A10" s="223" t="s">
        <v>102</v>
      </c>
      <c r="B10" s="223"/>
      <c r="C10" s="223"/>
      <c r="D10" s="223"/>
      <c r="E10" s="223"/>
    </row>
    <row r="11" spans="1:5" ht="30" customHeight="1" x14ac:dyDescent="0.25">
      <c r="A11" s="215" t="s">
        <v>103</v>
      </c>
      <c r="B11" s="215"/>
      <c r="C11" s="215"/>
      <c r="D11" s="215"/>
      <c r="E11" s="65" t="s">
        <v>104</v>
      </c>
    </row>
    <row r="12" spans="1:5" ht="15.75" customHeight="1" x14ac:dyDescent="0.25">
      <c r="A12" s="62">
        <v>1</v>
      </c>
      <c r="B12" s="66" t="s">
        <v>105</v>
      </c>
      <c r="C12" s="216" t="s">
        <v>95</v>
      </c>
      <c r="D12" s="216"/>
      <c r="E12" s="216"/>
    </row>
    <row r="13" spans="1:5" ht="30" customHeight="1" x14ac:dyDescent="0.25">
      <c r="A13" s="62">
        <v>2</v>
      </c>
      <c r="B13" s="66" t="s">
        <v>106</v>
      </c>
      <c r="C13" s="217">
        <v>1803.43</v>
      </c>
      <c r="D13" s="217"/>
      <c r="E13" s="217"/>
    </row>
    <row r="14" spans="1:5" ht="15.75" customHeight="1" x14ac:dyDescent="0.25">
      <c r="A14" s="62">
        <v>3</v>
      </c>
      <c r="B14" s="66" t="s">
        <v>107</v>
      </c>
      <c r="C14" s="216" t="s">
        <v>224</v>
      </c>
      <c r="D14" s="216"/>
      <c r="E14" s="216"/>
    </row>
    <row r="15" spans="1:5" x14ac:dyDescent="0.25">
      <c r="A15" s="62">
        <v>4</v>
      </c>
      <c r="B15" s="67" t="s">
        <v>109</v>
      </c>
      <c r="C15" s="230">
        <v>45805</v>
      </c>
      <c r="D15" s="230"/>
      <c r="E15" s="230"/>
    </row>
    <row r="16" spans="1:5" x14ac:dyDescent="0.25">
      <c r="A16" s="205" t="s">
        <v>110</v>
      </c>
      <c r="B16" s="205"/>
      <c r="C16" s="205"/>
      <c r="D16" s="205"/>
      <c r="E16" s="205"/>
    </row>
    <row r="17" spans="1:5" ht="15.75" customHeight="1" x14ac:dyDescent="0.25">
      <c r="A17" s="68">
        <v>1</v>
      </c>
      <c r="B17" s="213" t="s">
        <v>111</v>
      </c>
      <c r="C17" s="213"/>
      <c r="D17" s="213"/>
      <c r="E17" s="69" t="s">
        <v>104</v>
      </c>
    </row>
    <row r="18" spans="1:5" ht="15.75" customHeight="1" x14ac:dyDescent="0.25">
      <c r="A18" s="70" t="s">
        <v>92</v>
      </c>
      <c r="B18" s="71" t="s">
        <v>112</v>
      </c>
      <c r="C18" s="71"/>
      <c r="D18" s="71"/>
      <c r="E18" s="73">
        <f>C13</f>
        <v>1803.43</v>
      </c>
    </row>
    <row r="19" spans="1:5" ht="15.75" customHeight="1" x14ac:dyDescent="0.25">
      <c r="A19" s="70" t="s">
        <v>94</v>
      </c>
      <c r="B19" s="71" t="s">
        <v>113</v>
      </c>
      <c r="C19" s="74">
        <v>0</v>
      </c>
      <c r="D19" s="75">
        <v>1518</v>
      </c>
      <c r="E19" s="73">
        <v>0</v>
      </c>
    </row>
    <row r="20" spans="1:5" ht="15.75" customHeight="1" x14ac:dyDescent="0.25">
      <c r="A20" s="154" t="s">
        <v>96</v>
      </c>
      <c r="B20" s="136" t="s">
        <v>114</v>
      </c>
      <c r="C20" s="86">
        <v>0.25</v>
      </c>
      <c r="D20" s="155">
        <v>15.21</v>
      </c>
      <c r="E20" s="87">
        <f>(2.05*8)*D20</f>
        <v>249.44399999999999</v>
      </c>
    </row>
    <row r="21" spans="1:5" ht="15.75" customHeight="1" x14ac:dyDescent="0.25">
      <c r="A21" s="70"/>
      <c r="B21" s="229" t="s">
        <v>115</v>
      </c>
      <c r="C21" s="229"/>
      <c r="D21" s="229"/>
      <c r="E21" s="73">
        <f>SUM(E18:E20)</f>
        <v>2052.8740000000003</v>
      </c>
    </row>
    <row r="22" spans="1:5" ht="15.75" customHeight="1" x14ac:dyDescent="0.25">
      <c r="A22" s="70" t="s">
        <v>116</v>
      </c>
      <c r="B22" s="71" t="s">
        <v>117</v>
      </c>
      <c r="C22" s="74">
        <v>0.3</v>
      </c>
      <c r="D22" s="75">
        <f>E18</f>
        <v>1803.43</v>
      </c>
      <c r="E22" s="73">
        <f>D22*C22</f>
        <v>541.029</v>
      </c>
    </row>
    <row r="23" spans="1:5" ht="15.75" customHeight="1" x14ac:dyDescent="0.25">
      <c r="A23" s="206" t="s">
        <v>118</v>
      </c>
      <c r="B23" s="206"/>
      <c r="C23" s="206"/>
      <c r="D23" s="206"/>
      <c r="E23" s="77">
        <f>SUM(E21:E22)</f>
        <v>2593.9030000000002</v>
      </c>
    </row>
    <row r="24" spans="1:5" x14ac:dyDescent="0.25">
      <c r="A24" s="205" t="s">
        <v>119</v>
      </c>
      <c r="B24" s="205"/>
      <c r="C24" s="205"/>
      <c r="D24" s="205"/>
      <c r="E24" s="205"/>
    </row>
    <row r="25" spans="1:5" ht="30" x14ac:dyDescent="0.25">
      <c r="A25" s="78" t="s">
        <v>120</v>
      </c>
      <c r="B25" s="79" t="s">
        <v>121</v>
      </c>
      <c r="C25" s="80" t="s">
        <v>122</v>
      </c>
      <c r="D25" s="81"/>
      <c r="E25" s="82" t="s">
        <v>104</v>
      </c>
    </row>
    <row r="26" spans="1:5" x14ac:dyDescent="0.25">
      <c r="A26" s="83" t="s">
        <v>92</v>
      </c>
      <c r="B26" s="84" t="s">
        <v>123</v>
      </c>
      <c r="C26" s="85">
        <f>E23</f>
        <v>2593.9030000000002</v>
      </c>
      <c r="D26" s="86">
        <f>1/12</f>
        <v>8.3333333333333329E-2</v>
      </c>
      <c r="E26" s="87">
        <f>(C26)*D26</f>
        <v>216.15858333333335</v>
      </c>
    </row>
    <row r="27" spans="1:5" x14ac:dyDescent="0.25">
      <c r="A27" s="83" t="s">
        <v>94</v>
      </c>
      <c r="B27" s="88" t="s">
        <v>124</v>
      </c>
      <c r="C27" s="85">
        <f>E23</f>
        <v>2593.9030000000002</v>
      </c>
      <c r="D27" s="86">
        <v>0.1111</v>
      </c>
      <c r="E27" s="87">
        <f>(C27)*D27</f>
        <v>288.18262330000005</v>
      </c>
    </row>
    <row r="28" spans="1:5" ht="15.75" customHeight="1" x14ac:dyDescent="0.25">
      <c r="A28" s="208" t="s">
        <v>125</v>
      </c>
      <c r="B28" s="208"/>
      <c r="C28" s="208"/>
      <c r="D28" s="89">
        <f>SUM(D26:D27)</f>
        <v>0.19443333333333335</v>
      </c>
      <c r="E28" s="90">
        <f>SUM(E26:E27)</f>
        <v>504.3412066333334</v>
      </c>
    </row>
    <row r="29" spans="1:5" ht="30" customHeight="1" x14ac:dyDescent="0.25">
      <c r="A29" s="212" t="s">
        <v>126</v>
      </c>
      <c r="B29" s="212"/>
      <c r="C29" s="212"/>
      <c r="D29" s="212"/>
      <c r="E29" s="212"/>
    </row>
    <row r="30" spans="1:5" ht="30" x14ac:dyDescent="0.25">
      <c r="A30" s="91" t="s">
        <v>127</v>
      </c>
      <c r="B30" s="92" t="s">
        <v>128</v>
      </c>
      <c r="C30" s="93" t="s">
        <v>122</v>
      </c>
      <c r="D30" s="94"/>
      <c r="E30" s="95" t="s">
        <v>104</v>
      </c>
    </row>
    <row r="31" spans="1:5" x14ac:dyDescent="0.25">
      <c r="A31" s="83" t="s">
        <v>92</v>
      </c>
      <c r="B31" s="96" t="s">
        <v>129</v>
      </c>
      <c r="C31" s="85">
        <f t="shared" ref="C31:C38" si="0">E$23+E$28</f>
        <v>3098.2442066333338</v>
      </c>
      <c r="D31" s="86">
        <v>0.2</v>
      </c>
      <c r="E31" s="87">
        <f t="shared" ref="E31:E38" si="1">C31*D31</f>
        <v>619.6488413266668</v>
      </c>
    </row>
    <row r="32" spans="1:5" x14ac:dyDescent="0.25">
      <c r="A32" s="83" t="s">
        <v>94</v>
      </c>
      <c r="B32" s="96" t="s">
        <v>130</v>
      </c>
      <c r="C32" s="85">
        <f t="shared" si="0"/>
        <v>3098.2442066333338</v>
      </c>
      <c r="D32" s="97">
        <v>2.5000000000000001E-2</v>
      </c>
      <c r="E32" s="87">
        <f t="shared" si="1"/>
        <v>77.45610516583335</v>
      </c>
    </row>
    <row r="33" spans="1:5" ht="45" x14ac:dyDescent="0.25">
      <c r="A33" s="83" t="s">
        <v>96</v>
      </c>
      <c r="B33" s="98" t="s">
        <v>131</v>
      </c>
      <c r="C33" s="85">
        <f t="shared" si="0"/>
        <v>3098.2442066333338</v>
      </c>
      <c r="D33" s="97">
        <v>0.06</v>
      </c>
      <c r="E33" s="87">
        <f t="shared" si="1"/>
        <v>185.89465239800001</v>
      </c>
    </row>
    <row r="34" spans="1:5" x14ac:dyDescent="0.25">
      <c r="A34" s="83" t="s">
        <v>116</v>
      </c>
      <c r="B34" s="96" t="s">
        <v>132</v>
      </c>
      <c r="C34" s="85">
        <f t="shared" si="0"/>
        <v>3098.2442066333338</v>
      </c>
      <c r="D34" s="97">
        <v>1.4999999999999999E-2</v>
      </c>
      <c r="E34" s="87">
        <f t="shared" si="1"/>
        <v>46.473663099500001</v>
      </c>
    </row>
    <row r="35" spans="1:5" x14ac:dyDescent="0.25">
      <c r="A35" s="83" t="s">
        <v>133</v>
      </c>
      <c r="B35" s="96" t="s">
        <v>134</v>
      </c>
      <c r="C35" s="85">
        <f t="shared" si="0"/>
        <v>3098.2442066333338</v>
      </c>
      <c r="D35" s="97">
        <v>0.01</v>
      </c>
      <c r="E35" s="87">
        <f t="shared" si="1"/>
        <v>30.982442066333338</v>
      </c>
    </row>
    <row r="36" spans="1:5" x14ac:dyDescent="0.25">
      <c r="A36" s="83" t="s">
        <v>135</v>
      </c>
      <c r="B36" s="99" t="s">
        <v>136</v>
      </c>
      <c r="C36" s="85">
        <f t="shared" si="0"/>
        <v>3098.2442066333338</v>
      </c>
      <c r="D36" s="97">
        <v>6.0000000000000001E-3</v>
      </c>
      <c r="E36" s="87">
        <f t="shared" si="1"/>
        <v>18.589465239800003</v>
      </c>
    </row>
    <row r="37" spans="1:5" ht="30" x14ac:dyDescent="0.25">
      <c r="A37" s="83" t="s">
        <v>137</v>
      </c>
      <c r="B37" s="98" t="s">
        <v>138</v>
      </c>
      <c r="C37" s="85">
        <f t="shared" si="0"/>
        <v>3098.2442066333338</v>
      </c>
      <c r="D37" s="97">
        <v>2E-3</v>
      </c>
      <c r="E37" s="87">
        <f t="shared" si="1"/>
        <v>6.1964884132666675</v>
      </c>
    </row>
    <row r="38" spans="1:5" x14ac:dyDescent="0.25">
      <c r="A38" s="83" t="s">
        <v>139</v>
      </c>
      <c r="B38" s="96" t="s">
        <v>140</v>
      </c>
      <c r="C38" s="85">
        <f t="shared" si="0"/>
        <v>3098.2442066333338</v>
      </c>
      <c r="D38" s="97">
        <v>0.08</v>
      </c>
      <c r="E38" s="87">
        <f t="shared" si="1"/>
        <v>247.8595365306667</v>
      </c>
    </row>
    <row r="39" spans="1:5" ht="15.75" customHeight="1" x14ac:dyDescent="0.25">
      <c r="A39" s="208" t="s">
        <v>125</v>
      </c>
      <c r="B39" s="208"/>
      <c r="C39" s="208"/>
      <c r="D39" s="100">
        <f>SUM(D31:D38)</f>
        <v>0.39800000000000008</v>
      </c>
      <c r="E39" s="90">
        <f>SUM(E31:E38)</f>
        <v>1233.1011942400669</v>
      </c>
    </row>
    <row r="40" spans="1:5" x14ac:dyDescent="0.25">
      <c r="A40" s="209" t="s">
        <v>141</v>
      </c>
      <c r="B40" s="209"/>
      <c r="C40" s="209"/>
      <c r="D40" s="209"/>
      <c r="E40" s="209"/>
    </row>
    <row r="41" spans="1:5" ht="30" x14ac:dyDescent="0.25">
      <c r="A41" s="101" t="s">
        <v>142</v>
      </c>
      <c r="B41" s="102" t="s">
        <v>143</v>
      </c>
      <c r="C41" s="80" t="s">
        <v>122</v>
      </c>
      <c r="D41" s="81"/>
      <c r="E41" s="82" t="s">
        <v>104</v>
      </c>
    </row>
    <row r="42" spans="1:5" x14ac:dyDescent="0.25">
      <c r="A42" s="103" t="s">
        <v>92</v>
      </c>
      <c r="B42" s="104" t="s">
        <v>144</v>
      </c>
      <c r="C42" s="105">
        <v>3</v>
      </c>
      <c r="D42" s="104"/>
      <c r="E42" s="106">
        <f>(C13*0.06)-(32*C42)</f>
        <v>12.205799999999996</v>
      </c>
    </row>
    <row r="43" spans="1:5" x14ac:dyDescent="0.25">
      <c r="A43" s="83" t="s">
        <v>94</v>
      </c>
      <c r="B43" s="84" t="s">
        <v>145</v>
      </c>
      <c r="C43" s="107">
        <v>44</v>
      </c>
      <c r="D43" s="108"/>
      <c r="E43" s="87">
        <f>(C43*15.21)-((C43*15.21)*1%)</f>
        <v>662.54759999999999</v>
      </c>
    </row>
    <row r="44" spans="1:5" ht="15.75" customHeight="1" x14ac:dyDescent="0.25">
      <c r="A44" s="83" t="s">
        <v>96</v>
      </c>
      <c r="B44" s="84" t="s">
        <v>146</v>
      </c>
      <c r="C44" s="107">
        <f>C13*(16-1)/100</f>
        <v>270.5145</v>
      </c>
      <c r="D44" s="108"/>
      <c r="E44" s="87">
        <f>C44/12</f>
        <v>22.542874999999999</v>
      </c>
    </row>
    <row r="45" spans="1:5" ht="15.75" customHeight="1" x14ac:dyDescent="0.25">
      <c r="A45" s="83" t="s">
        <v>116</v>
      </c>
      <c r="B45" s="109" t="s">
        <v>147</v>
      </c>
      <c r="C45" s="107">
        <v>15.06</v>
      </c>
      <c r="D45" s="108"/>
      <c r="E45" s="87">
        <f>C45</f>
        <v>15.06</v>
      </c>
    </row>
    <row r="46" spans="1:5" x14ac:dyDescent="0.25">
      <c r="A46" s="116" t="s">
        <v>133</v>
      </c>
      <c r="B46" s="117" t="s">
        <v>148</v>
      </c>
      <c r="C46" s="156"/>
      <c r="D46" s="157"/>
      <c r="E46" s="73">
        <f>(((E18+E22)*26)+((E18)*5))/1000*0.21</f>
        <v>14.694347639999997</v>
      </c>
    </row>
    <row r="47" spans="1:5" ht="15.75" customHeight="1" x14ac:dyDescent="0.25">
      <c r="A47" s="208" t="s">
        <v>149</v>
      </c>
      <c r="B47" s="208"/>
      <c r="C47" s="208"/>
      <c r="D47" s="208"/>
      <c r="E47" s="90">
        <f>SUM(E42:E46)</f>
        <v>727.05062263999992</v>
      </c>
    </row>
    <row r="48" spans="1:5" ht="15.75" customHeight="1" x14ac:dyDescent="0.25">
      <c r="A48" s="209" t="s">
        <v>150</v>
      </c>
      <c r="B48" s="209"/>
      <c r="C48" s="209"/>
      <c r="D48" s="209"/>
      <c r="E48" s="209"/>
    </row>
    <row r="49" spans="1:5" ht="15.75" customHeight="1" x14ac:dyDescent="0.25">
      <c r="A49" s="64" t="s">
        <v>120</v>
      </c>
      <c r="B49" s="110" t="s">
        <v>151</v>
      </c>
      <c r="C49" s="111"/>
      <c r="D49" s="111"/>
      <c r="E49" s="112">
        <f>E28</f>
        <v>504.3412066333334</v>
      </c>
    </row>
    <row r="50" spans="1:5" ht="15.75" customHeight="1" x14ac:dyDescent="0.25">
      <c r="A50" s="64" t="s">
        <v>127</v>
      </c>
      <c r="B50" s="110" t="s">
        <v>152</v>
      </c>
      <c r="C50" s="111"/>
      <c r="D50" s="111"/>
      <c r="E50" s="112">
        <f>E39</f>
        <v>1233.1011942400669</v>
      </c>
    </row>
    <row r="51" spans="1:5" ht="15.75" customHeight="1" x14ac:dyDescent="0.25">
      <c r="A51" s="64" t="s">
        <v>142</v>
      </c>
      <c r="B51" s="110" t="s">
        <v>153</v>
      </c>
      <c r="C51" s="111"/>
      <c r="D51" s="111"/>
      <c r="E51" s="112">
        <f>E47</f>
        <v>727.05062263999992</v>
      </c>
    </row>
    <row r="52" spans="1:5" ht="15.75" customHeight="1" x14ac:dyDescent="0.25">
      <c r="A52" s="204" t="s">
        <v>154</v>
      </c>
      <c r="B52" s="204"/>
      <c r="C52" s="204"/>
      <c r="D52" s="204"/>
      <c r="E52" s="77">
        <f>SUM(E49:E51)</f>
        <v>2464.4930235134002</v>
      </c>
    </row>
    <row r="53" spans="1:5" ht="15.75" customHeight="1" x14ac:dyDescent="0.25">
      <c r="A53" s="205" t="s">
        <v>155</v>
      </c>
      <c r="B53" s="205"/>
      <c r="C53" s="205"/>
      <c r="D53" s="205"/>
      <c r="E53" s="205"/>
    </row>
    <row r="54" spans="1:5" ht="30" customHeight="1" x14ac:dyDescent="0.25">
      <c r="A54" s="64" t="s">
        <v>156</v>
      </c>
      <c r="B54" s="127" t="s">
        <v>157</v>
      </c>
      <c r="C54" s="158" t="s">
        <v>122</v>
      </c>
      <c r="D54" s="72"/>
      <c r="E54" s="69" t="s">
        <v>104</v>
      </c>
    </row>
    <row r="55" spans="1:5" ht="15.75" customHeight="1" x14ac:dyDescent="0.25">
      <c r="A55" s="116" t="s">
        <v>92</v>
      </c>
      <c r="B55" s="117" t="s">
        <v>158</v>
      </c>
      <c r="C55" s="159">
        <f>E$23+E28</f>
        <v>3098.2442066333338</v>
      </c>
      <c r="D55" s="86">
        <f>100%*(1/12)*5.55%</f>
        <v>4.6249999999999998E-3</v>
      </c>
      <c r="E55" s="73">
        <f>C55*D55</f>
        <v>14.329379455679168</v>
      </c>
    </row>
    <row r="56" spans="1:5" ht="15.75" customHeight="1" x14ac:dyDescent="0.25">
      <c r="A56" s="116" t="s">
        <v>94</v>
      </c>
      <c r="B56" s="117" t="s">
        <v>159</v>
      </c>
      <c r="C56" s="159">
        <f>E$23+E28</f>
        <v>3098.2442066333338</v>
      </c>
      <c r="D56" s="74">
        <v>4.0000000000000002E-4</v>
      </c>
      <c r="E56" s="73">
        <f>C56*D56</f>
        <v>1.2392976826533335</v>
      </c>
    </row>
    <row r="57" spans="1:5" ht="15.75" customHeight="1" x14ac:dyDescent="0.25">
      <c r="A57" s="116" t="s">
        <v>96</v>
      </c>
      <c r="B57" s="117" t="s">
        <v>160</v>
      </c>
      <c r="C57" s="159">
        <f>E$23+E28</f>
        <v>3098.2442066333338</v>
      </c>
      <c r="D57" s="86">
        <v>1.9400000000000001E-2</v>
      </c>
      <c r="E57" s="73">
        <f>C57*D57</f>
        <v>60.105937608686673</v>
      </c>
    </row>
    <row r="58" spans="1:5" ht="30" customHeight="1" x14ac:dyDescent="0.25">
      <c r="A58" s="116" t="s">
        <v>116</v>
      </c>
      <c r="B58" s="160" t="s">
        <v>222</v>
      </c>
      <c r="C58" s="159">
        <f>E$23+E28</f>
        <v>3098.2442066333338</v>
      </c>
      <c r="D58" s="86">
        <f>D39*D57</f>
        <v>7.7212000000000018E-3</v>
      </c>
      <c r="E58" s="73">
        <f>C58*D58</f>
        <v>23.922163168257303</v>
      </c>
    </row>
    <row r="59" spans="1:5" ht="32.25" customHeight="1" x14ac:dyDescent="0.25">
      <c r="A59" s="116" t="s">
        <v>133</v>
      </c>
      <c r="B59" s="117" t="s">
        <v>162</v>
      </c>
      <c r="C59" s="159">
        <f>E$23+E28</f>
        <v>3098.2442066333338</v>
      </c>
      <c r="D59" s="86">
        <v>0.04</v>
      </c>
      <c r="E59" s="73">
        <f>C59*D59</f>
        <v>123.92976826533335</v>
      </c>
    </row>
    <row r="60" spans="1:5" ht="15.75" customHeight="1" x14ac:dyDescent="0.25">
      <c r="A60" s="211" t="s">
        <v>163</v>
      </c>
      <c r="B60" s="211"/>
      <c r="C60" s="211"/>
      <c r="D60" s="119">
        <f>SUM(D55:D59)</f>
        <v>7.2146200000000008E-2</v>
      </c>
      <c r="E60" s="120">
        <f>SUM(E55:E59)</f>
        <v>223.52654618060984</v>
      </c>
    </row>
    <row r="61" spans="1:5" ht="15.75" customHeight="1" x14ac:dyDescent="0.25">
      <c r="A61" s="205" t="s">
        <v>164</v>
      </c>
      <c r="B61" s="205"/>
      <c r="C61" s="205"/>
      <c r="D61" s="205"/>
      <c r="E61" s="205"/>
    </row>
    <row r="62" spans="1:5" ht="30" x14ac:dyDescent="0.25">
      <c r="A62" s="91" t="s">
        <v>165</v>
      </c>
      <c r="B62" s="121" t="s">
        <v>166</v>
      </c>
      <c r="C62" s="114" t="s">
        <v>122</v>
      </c>
      <c r="D62" s="122"/>
      <c r="E62" s="95" t="s">
        <v>104</v>
      </c>
    </row>
    <row r="63" spans="1:5" x14ac:dyDescent="0.25">
      <c r="A63" s="83" t="s">
        <v>92</v>
      </c>
      <c r="B63" s="84" t="s">
        <v>167</v>
      </c>
      <c r="C63" s="123">
        <f>E$23+E$52+E$60+E84</f>
        <v>5352.6315280273438</v>
      </c>
      <c r="D63" s="86">
        <f>D27/12</f>
        <v>9.2583333333333337E-3</v>
      </c>
      <c r="E63" s="87">
        <f t="shared" ref="E63:E69" si="2">C63*D63</f>
        <v>49.556446896986493</v>
      </c>
    </row>
    <row r="64" spans="1:5" x14ac:dyDescent="0.25">
      <c r="A64" s="83" t="s">
        <v>94</v>
      </c>
      <c r="B64" s="84" t="s">
        <v>168</v>
      </c>
      <c r="C64" s="123">
        <f>E$23+E$52+E$60+E84</f>
        <v>5352.6315280273438</v>
      </c>
      <c r="D64" s="86">
        <v>1.3899999999999999E-2</v>
      </c>
      <c r="E64" s="87">
        <f t="shared" si="2"/>
        <v>74.401578239580076</v>
      </c>
    </row>
    <row r="65" spans="1:5" x14ac:dyDescent="0.25">
      <c r="A65" s="83" t="s">
        <v>96</v>
      </c>
      <c r="B65" s="84" t="s">
        <v>169</v>
      </c>
      <c r="C65" s="123">
        <f>E$23+E$52+E$60+E84</f>
        <v>5352.6315280273438</v>
      </c>
      <c r="D65" s="86">
        <v>1.2999999999999999E-3</v>
      </c>
      <c r="E65" s="87">
        <f t="shared" si="2"/>
        <v>6.9584209864355469</v>
      </c>
    </row>
    <row r="66" spans="1:5" x14ac:dyDescent="0.25">
      <c r="A66" s="83" t="s">
        <v>116</v>
      </c>
      <c r="B66" s="84" t="s">
        <v>170</v>
      </c>
      <c r="C66" s="123">
        <f>E$23+E$52+E$60+E84</f>
        <v>5352.6315280273438</v>
      </c>
      <c r="D66" s="86">
        <v>2.0000000000000001E-4</v>
      </c>
      <c r="E66" s="87">
        <f t="shared" si="2"/>
        <v>1.0705263056054688</v>
      </c>
    </row>
    <row r="67" spans="1:5" x14ac:dyDescent="0.25">
      <c r="A67" s="83" t="s">
        <v>133</v>
      </c>
      <c r="B67" s="84" t="s">
        <v>171</v>
      </c>
      <c r="C67" s="123">
        <f>E$23+E$52+E$60+E84</f>
        <v>5352.6315280273438</v>
      </c>
      <c r="D67" s="86">
        <v>2.8E-3</v>
      </c>
      <c r="E67" s="87">
        <f t="shared" si="2"/>
        <v>14.987368278476563</v>
      </c>
    </row>
    <row r="68" spans="1:5" x14ac:dyDescent="0.25">
      <c r="A68" s="83" t="s">
        <v>135</v>
      </c>
      <c r="B68" s="84" t="s">
        <v>172</v>
      </c>
      <c r="C68" s="123">
        <f>E$23+E$52+E$60+E84</f>
        <v>5352.6315280273438</v>
      </c>
      <c r="D68" s="86">
        <v>2.9999999999999997E-4</v>
      </c>
      <c r="E68" s="87">
        <f t="shared" si="2"/>
        <v>1.6057894584082031</v>
      </c>
    </row>
    <row r="69" spans="1:5" x14ac:dyDescent="0.25">
      <c r="A69" s="83" t="s">
        <v>137</v>
      </c>
      <c r="B69" s="124" t="s">
        <v>173</v>
      </c>
      <c r="C69" s="123">
        <f>E$23+E$52+E$60+E84</f>
        <v>5352.6315280273438</v>
      </c>
      <c r="D69" s="86">
        <v>0</v>
      </c>
      <c r="E69" s="87">
        <f t="shared" si="2"/>
        <v>0</v>
      </c>
    </row>
    <row r="70" spans="1:5" ht="15.75" customHeight="1" x14ac:dyDescent="0.25">
      <c r="A70" s="208" t="s">
        <v>174</v>
      </c>
      <c r="B70" s="208"/>
      <c r="C70" s="208"/>
      <c r="D70" s="125">
        <f>SUM(D63:D69)</f>
        <v>2.7758333333333333E-2</v>
      </c>
      <c r="E70" s="90">
        <f>SUM(E63:E69)</f>
        <v>148.58013016549233</v>
      </c>
    </row>
    <row r="71" spans="1:5" ht="15.75" customHeight="1" x14ac:dyDescent="0.25">
      <c r="A71" s="209" t="s">
        <v>175</v>
      </c>
      <c r="B71" s="209"/>
      <c r="C71" s="209"/>
      <c r="D71" s="209"/>
      <c r="E71" s="209"/>
    </row>
    <row r="72" spans="1:5" x14ac:dyDescent="0.25">
      <c r="A72" s="68"/>
      <c r="B72" s="161" t="s">
        <v>175</v>
      </c>
      <c r="C72" s="71"/>
      <c r="D72" s="71"/>
      <c r="E72" s="69" t="s">
        <v>104</v>
      </c>
    </row>
    <row r="73" spans="1:5" x14ac:dyDescent="0.25">
      <c r="A73" s="116" t="s">
        <v>92</v>
      </c>
      <c r="B73" s="126" t="s">
        <v>176</v>
      </c>
      <c r="C73" s="67"/>
      <c r="D73" s="74"/>
      <c r="E73" s="73">
        <f>(7.71*1.5)*15.21</f>
        <v>175.90365</v>
      </c>
    </row>
    <row r="74" spans="1:5" ht="15.75" customHeight="1" x14ac:dyDescent="0.25">
      <c r="A74" s="116" t="s">
        <v>94</v>
      </c>
      <c r="B74" s="126" t="s">
        <v>177</v>
      </c>
      <c r="C74" s="67"/>
      <c r="D74" s="74">
        <f>D39</f>
        <v>0.39800000000000008</v>
      </c>
      <c r="E74" s="73">
        <f>E73*D74</f>
        <v>70.009652700000018</v>
      </c>
    </row>
    <row r="75" spans="1:5" ht="15.75" customHeight="1" x14ac:dyDescent="0.25">
      <c r="A75" s="208" t="s">
        <v>178</v>
      </c>
      <c r="B75" s="208"/>
      <c r="C75" s="208"/>
      <c r="D75" s="89">
        <f>SUM(D74:D74)</f>
        <v>0.39800000000000008</v>
      </c>
      <c r="E75" s="90">
        <f>SUM(E73:E74)</f>
        <v>245.91330270000003</v>
      </c>
    </row>
    <row r="76" spans="1:5" ht="15.75" customHeight="1" x14ac:dyDescent="0.25">
      <c r="A76" s="210" t="s">
        <v>179</v>
      </c>
      <c r="B76" s="210"/>
      <c r="C76" s="210"/>
      <c r="D76" s="210"/>
      <c r="E76" s="210"/>
    </row>
    <row r="77" spans="1:5" ht="15.75" customHeight="1" x14ac:dyDescent="0.25">
      <c r="A77" s="91">
        <v>4</v>
      </c>
      <c r="B77" s="127" t="s">
        <v>180</v>
      </c>
      <c r="C77" s="128"/>
      <c r="D77" s="71"/>
      <c r="E77" s="95" t="s">
        <v>104</v>
      </c>
    </row>
    <row r="78" spans="1:5" ht="15.75" customHeight="1" x14ac:dyDescent="0.25">
      <c r="A78" s="83" t="s">
        <v>165</v>
      </c>
      <c r="B78" s="84" t="s">
        <v>166</v>
      </c>
      <c r="C78" s="128"/>
      <c r="D78" s="86">
        <f>D70</f>
        <v>2.7758333333333333E-2</v>
      </c>
      <c r="E78" s="87">
        <f>E70</f>
        <v>148.58013016549233</v>
      </c>
    </row>
    <row r="79" spans="1:5" ht="15.75" customHeight="1" x14ac:dyDescent="0.25">
      <c r="A79" s="83" t="s">
        <v>181</v>
      </c>
      <c r="B79" s="84" t="s">
        <v>175</v>
      </c>
      <c r="C79" s="128"/>
      <c r="D79" s="86"/>
      <c r="E79" s="87">
        <f>E75</f>
        <v>245.91330270000003</v>
      </c>
    </row>
    <row r="80" spans="1:5" ht="15.75" customHeight="1" x14ac:dyDescent="0.25">
      <c r="A80" s="208" t="s">
        <v>125</v>
      </c>
      <c r="B80" s="208"/>
      <c r="C80" s="208"/>
      <c r="D80" s="89">
        <f>SUM(D78:D79)</f>
        <v>2.7758333333333333E-2</v>
      </c>
      <c r="E80" s="90">
        <f>SUM(E78:E79)</f>
        <v>394.49343286549237</v>
      </c>
    </row>
    <row r="81" spans="1:5" ht="15.75" customHeight="1" x14ac:dyDescent="0.25">
      <c r="A81" s="204" t="s">
        <v>182</v>
      </c>
      <c r="B81" s="204"/>
      <c r="C81" s="204"/>
      <c r="D81" s="204"/>
      <c r="E81" s="129">
        <f>SUM(E70+E75)</f>
        <v>394.49343286549237</v>
      </c>
    </row>
    <row r="82" spans="1:5" ht="15.75" customHeight="1" x14ac:dyDescent="0.25">
      <c r="A82" s="205" t="s">
        <v>183</v>
      </c>
      <c r="B82" s="205"/>
      <c r="C82" s="205"/>
      <c r="D82" s="205"/>
      <c r="E82" s="205"/>
    </row>
    <row r="83" spans="1:5" ht="15.75" customHeight="1" x14ac:dyDescent="0.25">
      <c r="A83" s="91">
        <v>5</v>
      </c>
      <c r="B83" s="113" t="s">
        <v>184</v>
      </c>
      <c r="C83" s="118"/>
      <c r="D83" s="118"/>
      <c r="E83" s="95" t="s">
        <v>104</v>
      </c>
    </row>
    <row r="84" spans="1:5" ht="15.75" customHeight="1" x14ac:dyDescent="0.25">
      <c r="A84" s="116" t="s">
        <v>92</v>
      </c>
      <c r="B84" s="117" t="s">
        <v>185</v>
      </c>
      <c r="C84" s="130"/>
      <c r="D84" s="131"/>
      <c r="E84" s="87">
        <f>'Uniformes '!H16</f>
        <v>70.708958333333328</v>
      </c>
    </row>
    <row r="85" spans="1:5" ht="15.75" customHeight="1" x14ac:dyDescent="0.25">
      <c r="A85" s="116" t="s">
        <v>94</v>
      </c>
      <c r="B85" s="117" t="s">
        <v>186</v>
      </c>
      <c r="C85" s="130"/>
      <c r="D85" s="131"/>
      <c r="E85" s="87">
        <f>Insumos!H34</f>
        <v>156.43062499999999</v>
      </c>
    </row>
    <row r="86" spans="1:5" ht="15.75" customHeight="1" x14ac:dyDescent="0.25">
      <c r="A86" s="116" t="s">
        <v>96</v>
      </c>
      <c r="B86" s="117" t="s">
        <v>187</v>
      </c>
      <c r="C86" s="130"/>
      <c r="D86" s="131"/>
      <c r="E86" s="87">
        <v>0</v>
      </c>
    </row>
    <row r="87" spans="1:5" ht="15.75" customHeight="1" x14ac:dyDescent="0.25">
      <c r="A87" s="116" t="s">
        <v>116</v>
      </c>
      <c r="B87" s="117" t="s">
        <v>188</v>
      </c>
      <c r="C87" s="130"/>
      <c r="D87" s="131"/>
      <c r="E87" s="87">
        <v>33.869999999999997</v>
      </c>
    </row>
    <row r="88" spans="1:5" ht="15.75" customHeight="1" x14ac:dyDescent="0.25">
      <c r="A88" s="206" t="s">
        <v>189</v>
      </c>
      <c r="B88" s="206"/>
      <c r="C88" s="206"/>
      <c r="D88" s="206"/>
      <c r="E88" s="77">
        <f>SUM(E84:E87)</f>
        <v>261.0095833333333</v>
      </c>
    </row>
    <row r="89" spans="1:5" ht="23.25" customHeight="1" x14ac:dyDescent="0.25">
      <c r="A89" s="207" t="s">
        <v>190</v>
      </c>
      <c r="B89" s="207"/>
      <c r="C89" s="207"/>
      <c r="D89" s="207"/>
      <c r="E89" s="132">
        <f>E88+E81+E60+E52+E23</f>
        <v>5937.4255858928354</v>
      </c>
    </row>
    <row r="90" spans="1:5" ht="19.5" customHeight="1" x14ac:dyDescent="0.25">
      <c r="A90" s="205" t="s">
        <v>191</v>
      </c>
      <c r="B90" s="205"/>
      <c r="C90" s="205"/>
      <c r="D90" s="205"/>
      <c r="E90" s="205"/>
    </row>
    <row r="91" spans="1:5" ht="30" x14ac:dyDescent="0.25">
      <c r="A91" s="91">
        <v>6</v>
      </c>
      <c r="B91" s="113" t="s">
        <v>192</v>
      </c>
      <c r="C91" s="93" t="s">
        <v>122</v>
      </c>
      <c r="D91" s="93"/>
      <c r="E91" s="95" t="s">
        <v>104</v>
      </c>
    </row>
    <row r="92" spans="1:5" x14ac:dyDescent="0.25">
      <c r="A92" s="83" t="s">
        <v>92</v>
      </c>
      <c r="B92" s="84" t="s">
        <v>193</v>
      </c>
      <c r="C92" s="133">
        <f>E89</f>
        <v>5937.4255858928354</v>
      </c>
      <c r="D92" s="86">
        <v>0.05</v>
      </c>
      <c r="E92" s="87">
        <f>C92*D92</f>
        <v>296.87127929464179</v>
      </c>
    </row>
    <row r="93" spans="1:5" x14ac:dyDescent="0.25">
      <c r="A93" s="83" t="s">
        <v>94</v>
      </c>
      <c r="B93" s="84" t="s">
        <v>194</v>
      </c>
      <c r="C93" s="133">
        <f>E89+E92</f>
        <v>6234.2968651874771</v>
      </c>
      <c r="D93" s="86">
        <v>0.1</v>
      </c>
      <c r="E93" s="87">
        <f>D93*C93</f>
        <v>623.42968651874776</v>
      </c>
    </row>
    <row r="94" spans="1:5" ht="30.75" customHeight="1" x14ac:dyDescent="0.25">
      <c r="A94" s="83"/>
      <c r="B94" s="134" t="s">
        <v>195</v>
      </c>
      <c r="C94" s="84"/>
      <c r="D94" s="86">
        <f>1-D101</f>
        <v>0.91349999999999998</v>
      </c>
      <c r="E94" s="87">
        <f>+E89+E92+E93</f>
        <v>6857.7265517062251</v>
      </c>
    </row>
    <row r="95" spans="1:5" x14ac:dyDescent="0.25">
      <c r="A95" s="83"/>
      <c r="B95" s="135"/>
      <c r="C95" s="136"/>
      <c r="D95" s="137"/>
      <c r="E95" s="138">
        <f>+E94/D94</f>
        <v>7507.0898212438151</v>
      </c>
    </row>
    <row r="96" spans="1:5" x14ac:dyDescent="0.25">
      <c r="A96" s="83" t="s">
        <v>96</v>
      </c>
      <c r="B96" s="124" t="s">
        <v>196</v>
      </c>
      <c r="C96" s="136"/>
      <c r="D96" s="139">
        <f>D98+D99+D100</f>
        <v>8.6499999999999994E-2</v>
      </c>
      <c r="E96" s="138"/>
    </row>
    <row r="97" spans="1:5" x14ac:dyDescent="0.25">
      <c r="A97" s="83" t="s">
        <v>197</v>
      </c>
      <c r="B97" s="124" t="s">
        <v>198</v>
      </c>
      <c r="C97" s="124"/>
      <c r="D97" s="140">
        <f>D98+D99</f>
        <v>3.6499999999999998E-2</v>
      </c>
      <c r="E97" s="87"/>
    </row>
    <row r="98" spans="1:5" x14ac:dyDescent="0.25">
      <c r="A98" s="83" t="s">
        <v>199</v>
      </c>
      <c r="B98" s="84" t="s">
        <v>200</v>
      </c>
      <c r="C98" s="107">
        <f>E95</f>
        <v>7507.0898212438151</v>
      </c>
      <c r="D98" s="86">
        <v>6.4999999999999997E-3</v>
      </c>
      <c r="E98" s="87">
        <f>C98*D98</f>
        <v>48.796083838084797</v>
      </c>
    </row>
    <row r="99" spans="1:5" x14ac:dyDescent="0.25">
      <c r="A99" s="83" t="s">
        <v>201</v>
      </c>
      <c r="B99" s="84" t="s">
        <v>202</v>
      </c>
      <c r="C99" s="107">
        <f>E95</f>
        <v>7507.0898212438151</v>
      </c>
      <c r="D99" s="86">
        <v>0.03</v>
      </c>
      <c r="E99" s="87">
        <f>C99*D99</f>
        <v>225.21269463731446</v>
      </c>
    </row>
    <row r="100" spans="1:5" x14ac:dyDescent="0.25">
      <c r="A100" s="141" t="s">
        <v>203</v>
      </c>
      <c r="B100" s="142" t="s">
        <v>204</v>
      </c>
      <c r="C100" s="143">
        <f>E95</f>
        <v>7507.0898212438151</v>
      </c>
      <c r="D100" s="144">
        <v>0.05</v>
      </c>
      <c r="E100" s="145">
        <f>C100*D100</f>
        <v>375.35449106219079</v>
      </c>
    </row>
    <row r="101" spans="1:5" x14ac:dyDescent="0.25">
      <c r="A101" s="146"/>
      <c r="B101" s="201" t="s">
        <v>205</v>
      </c>
      <c r="C101" s="201"/>
      <c r="D101" s="147">
        <f>D96</f>
        <v>8.6499999999999994E-2</v>
      </c>
      <c r="E101" s="148">
        <f>SUM(E98:E100)</f>
        <v>649.36326953758999</v>
      </c>
    </row>
    <row r="102" spans="1:5" ht="15.75" customHeight="1" x14ac:dyDescent="0.25">
      <c r="A102" s="202" t="s">
        <v>206</v>
      </c>
      <c r="B102" s="202"/>
      <c r="C102" s="202"/>
      <c r="D102" s="202"/>
      <c r="E102" s="149">
        <f>+E92+E93+E101</f>
        <v>1569.6642353509797</v>
      </c>
    </row>
    <row r="103" spans="1:5" ht="15.75" customHeight="1" x14ac:dyDescent="0.25">
      <c r="A103" s="203" t="s">
        <v>207</v>
      </c>
      <c r="B103" s="203"/>
      <c r="C103" s="203"/>
      <c r="D103" s="203"/>
      <c r="E103" s="150" t="s">
        <v>104</v>
      </c>
    </row>
    <row r="104" spans="1:5" ht="15.75" customHeight="1" x14ac:dyDescent="0.25">
      <c r="A104" s="83" t="s">
        <v>92</v>
      </c>
      <c r="B104" s="199" t="s">
        <v>208</v>
      </c>
      <c r="C104" s="199"/>
      <c r="D104" s="199"/>
      <c r="E104" s="87">
        <f>+E23</f>
        <v>2593.9030000000002</v>
      </c>
    </row>
    <row r="105" spans="1:5" ht="15.75" customHeight="1" x14ac:dyDescent="0.25">
      <c r="A105" s="83" t="s">
        <v>94</v>
      </c>
      <c r="B105" s="199" t="s">
        <v>209</v>
      </c>
      <c r="C105" s="199"/>
      <c r="D105" s="199"/>
      <c r="E105" s="87">
        <f>+E52</f>
        <v>2464.4930235134002</v>
      </c>
    </row>
    <row r="106" spans="1:5" ht="15.75" customHeight="1" x14ac:dyDescent="0.25">
      <c r="A106" s="83" t="s">
        <v>96</v>
      </c>
      <c r="B106" s="199" t="s">
        <v>210</v>
      </c>
      <c r="C106" s="199"/>
      <c r="D106" s="199"/>
      <c r="E106" s="87">
        <f>E60</f>
        <v>223.52654618060984</v>
      </c>
    </row>
    <row r="107" spans="1:5" ht="15.75" customHeight="1" x14ac:dyDescent="0.25">
      <c r="A107" s="83" t="s">
        <v>116</v>
      </c>
      <c r="B107" s="199" t="s">
        <v>211</v>
      </c>
      <c r="C107" s="199"/>
      <c r="D107" s="199"/>
      <c r="E107" s="87">
        <f>E81</f>
        <v>394.49343286549237</v>
      </c>
    </row>
    <row r="108" spans="1:5" ht="15.75" customHeight="1" x14ac:dyDescent="0.25">
      <c r="A108" s="83" t="s">
        <v>133</v>
      </c>
      <c r="B108" s="199" t="s">
        <v>212</v>
      </c>
      <c r="C108" s="199"/>
      <c r="D108" s="199"/>
      <c r="E108" s="87">
        <f>E88</f>
        <v>261.0095833333333</v>
      </c>
    </row>
    <row r="109" spans="1:5" ht="15.75" customHeight="1" x14ac:dyDescent="0.25">
      <c r="A109" s="200" t="s">
        <v>213</v>
      </c>
      <c r="B109" s="200"/>
      <c r="C109" s="200"/>
      <c r="D109" s="200"/>
      <c r="E109" s="151">
        <f>SUM(E104:E108)</f>
        <v>5937.4255858928364</v>
      </c>
    </row>
    <row r="110" spans="1:5" ht="15.75" customHeight="1" x14ac:dyDescent="0.25">
      <c r="A110" s="83" t="s">
        <v>135</v>
      </c>
      <c r="B110" s="199" t="s">
        <v>214</v>
      </c>
      <c r="C110" s="199"/>
      <c r="D110" s="199"/>
      <c r="E110" s="87">
        <f>+E102</f>
        <v>1569.6642353509797</v>
      </c>
    </row>
    <row r="111" spans="1:5" ht="16.5" customHeight="1" x14ac:dyDescent="0.25">
      <c r="A111" s="196" t="s">
        <v>215</v>
      </c>
      <c r="B111" s="196"/>
      <c r="C111" s="196"/>
      <c r="D111" s="196"/>
      <c r="E111" s="152">
        <f>+E109+E110</f>
        <v>7507.089821243816</v>
      </c>
    </row>
    <row r="112" spans="1:5" x14ac:dyDescent="0.25">
      <c r="A112" s="228"/>
      <c r="B112" s="228"/>
      <c r="C112" s="228"/>
      <c r="D112" s="228"/>
      <c r="E112" s="228"/>
    </row>
    <row r="113" spans="1:5" ht="16.5" customHeight="1" x14ac:dyDescent="0.25">
      <c r="A113" s="198" t="s">
        <v>220</v>
      </c>
      <c r="B113" s="198"/>
      <c r="C113" s="198"/>
      <c r="D113" s="198"/>
      <c r="E113" s="153">
        <f>E111*2</f>
        <v>15014.179642487632</v>
      </c>
    </row>
    <row r="114" spans="1:5" x14ac:dyDescent="0.25">
      <c r="B114" s="162"/>
    </row>
    <row r="119" spans="1:5" x14ac:dyDescent="0.25">
      <c r="B119" s="61"/>
      <c r="C119" s="61"/>
    </row>
  </sheetData>
  <mergeCells count="53"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A11:D11"/>
    <mergeCell ref="C12:E12"/>
    <mergeCell ref="C13:E13"/>
    <mergeCell ref="C14:E14"/>
    <mergeCell ref="C15:E15"/>
    <mergeCell ref="A16:E16"/>
    <mergeCell ref="B17:D17"/>
    <mergeCell ref="B21:D21"/>
    <mergeCell ref="A23:D23"/>
    <mergeCell ref="A24:E24"/>
    <mergeCell ref="A28:C28"/>
    <mergeCell ref="A29:E29"/>
    <mergeCell ref="A39:C39"/>
    <mergeCell ref="A40:E40"/>
    <mergeCell ref="A47:D47"/>
    <mergeCell ref="A48:E48"/>
    <mergeCell ref="A52:D52"/>
    <mergeCell ref="A53:E53"/>
    <mergeCell ref="A60:C60"/>
    <mergeCell ref="A61:E61"/>
    <mergeCell ref="A70:C70"/>
    <mergeCell ref="A71:E71"/>
    <mergeCell ref="A75:C75"/>
    <mergeCell ref="A76:E76"/>
    <mergeCell ref="A80:C80"/>
    <mergeCell ref="A81:D81"/>
    <mergeCell ref="A82:E82"/>
    <mergeCell ref="A88:D88"/>
    <mergeCell ref="A89:D89"/>
    <mergeCell ref="A90:E90"/>
    <mergeCell ref="B101:C101"/>
    <mergeCell ref="A102:D102"/>
    <mergeCell ref="A103:D103"/>
    <mergeCell ref="B104:D104"/>
    <mergeCell ref="B105:D105"/>
    <mergeCell ref="A111:D111"/>
    <mergeCell ref="A112:E112"/>
    <mergeCell ref="A113:D113"/>
    <mergeCell ref="B106:D106"/>
    <mergeCell ref="B107:D107"/>
    <mergeCell ref="B108:D108"/>
    <mergeCell ref="A109:D109"/>
    <mergeCell ref="B110:D110"/>
  </mergeCells>
  <hyperlinks>
    <hyperlink ref="B36" r:id="rId1"/>
  </hyperlinks>
  <printOptions horizontalCentered="1"/>
  <pageMargins left="0.31527777777777799" right="0.31527777777777799" top="0.35416666666666702" bottom="1.02847222222222" header="0.511811023622047" footer="0.511811023622047"/>
  <pageSetup paperSize="9" scale="38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view="pageBreakPreview" zoomScaleNormal="100" workbookViewId="0">
      <selection activeCell="H9" sqref="H9"/>
    </sheetView>
  </sheetViews>
  <sheetFormatPr defaultColWidth="8.7109375" defaultRowHeight="15" x14ac:dyDescent="0.25"/>
  <cols>
    <col min="2" max="2" width="40.7109375" style="1" customWidth="1"/>
    <col min="3" max="3" width="30.7109375" style="1" customWidth="1"/>
    <col min="4" max="4" width="15.7109375" style="1" customWidth="1"/>
    <col min="5" max="5" width="30.7109375" style="1" customWidth="1"/>
    <col min="6" max="8" width="15.7109375" style="1" customWidth="1"/>
  </cols>
  <sheetData>
    <row r="1" spans="1:8" ht="15" customHeight="1" x14ac:dyDescent="0.25">
      <c r="A1" s="233" t="s">
        <v>225</v>
      </c>
      <c r="B1" s="233"/>
      <c r="C1" s="233"/>
      <c r="D1" s="233"/>
      <c r="E1" s="233"/>
      <c r="F1" s="233"/>
      <c r="G1" s="233"/>
      <c r="H1" s="233"/>
    </row>
    <row r="2" spans="1:8" ht="15" customHeight="1" x14ac:dyDescent="0.25">
      <c r="A2" s="234" t="s">
        <v>226</v>
      </c>
      <c r="B2" s="234"/>
      <c r="C2" s="234"/>
      <c r="D2" s="234"/>
      <c r="E2" s="234"/>
      <c r="F2" s="234"/>
      <c r="G2" s="234"/>
      <c r="H2" s="234"/>
    </row>
    <row r="3" spans="1:8" ht="15" customHeight="1" x14ac:dyDescent="0.25">
      <c r="A3" s="179" t="s">
        <v>227</v>
      </c>
      <c r="B3" s="163" t="s">
        <v>228</v>
      </c>
      <c r="C3" s="163" t="s">
        <v>229</v>
      </c>
      <c r="D3" s="163" t="s">
        <v>230</v>
      </c>
      <c r="E3" s="163" t="s">
        <v>231</v>
      </c>
      <c r="F3" s="164" t="s">
        <v>232</v>
      </c>
      <c r="G3" s="164" t="s">
        <v>233</v>
      </c>
      <c r="H3" s="180" t="s">
        <v>234</v>
      </c>
    </row>
    <row r="4" spans="1:8" ht="15" customHeight="1" x14ac:dyDescent="0.25">
      <c r="A4" s="62">
        <v>1</v>
      </c>
      <c r="B4" s="42" t="s">
        <v>235</v>
      </c>
      <c r="C4" s="42" t="s">
        <v>236</v>
      </c>
      <c r="D4" s="42">
        <f>(12*3)*1</f>
        <v>36</v>
      </c>
      <c r="E4" s="41" t="s">
        <v>237</v>
      </c>
      <c r="F4" s="165">
        <v>42</v>
      </c>
      <c r="G4" s="165">
        <f t="shared" ref="G4:G14" si="0">F4*D4</f>
        <v>1512</v>
      </c>
      <c r="H4" s="181">
        <f t="shared" ref="H4:H14" si="1">G4/12</f>
        <v>126</v>
      </c>
    </row>
    <row r="5" spans="1:8" ht="15" customHeight="1" x14ac:dyDescent="0.25">
      <c r="A5" s="62">
        <v>2</v>
      </c>
      <c r="B5" s="42" t="s">
        <v>238</v>
      </c>
      <c r="C5" s="42" t="s">
        <v>236</v>
      </c>
      <c r="D5" s="42">
        <f>(12*3)*1</f>
        <v>36</v>
      </c>
      <c r="E5" s="41" t="s">
        <v>237</v>
      </c>
      <c r="F5" s="165">
        <v>40</v>
      </c>
      <c r="G5" s="165">
        <f t="shared" si="0"/>
        <v>1440</v>
      </c>
      <c r="H5" s="181">
        <f t="shared" si="1"/>
        <v>120</v>
      </c>
    </row>
    <row r="6" spans="1:8" ht="15" customHeight="1" x14ac:dyDescent="0.25">
      <c r="A6" s="62">
        <v>3</v>
      </c>
      <c r="B6" s="42" t="s">
        <v>239</v>
      </c>
      <c r="C6" s="42" t="s">
        <v>240</v>
      </c>
      <c r="D6" s="42">
        <f>3*1</f>
        <v>3</v>
      </c>
      <c r="E6" s="42" t="s">
        <v>273</v>
      </c>
      <c r="F6" s="165">
        <v>35.590000000000003</v>
      </c>
      <c r="G6" s="165">
        <f t="shared" si="0"/>
        <v>106.77000000000001</v>
      </c>
      <c r="H6" s="181">
        <f t="shared" si="1"/>
        <v>8.8975000000000009</v>
      </c>
    </row>
    <row r="7" spans="1:8" ht="15" customHeight="1" x14ac:dyDescent="0.25">
      <c r="A7" s="62">
        <v>4</v>
      </c>
      <c r="B7" s="42" t="s">
        <v>241</v>
      </c>
      <c r="C7" s="42" t="s">
        <v>242</v>
      </c>
      <c r="D7" s="42">
        <f>(12*1)</f>
        <v>12</v>
      </c>
      <c r="E7" s="42" t="s">
        <v>273</v>
      </c>
      <c r="F7" s="165">
        <v>310</v>
      </c>
      <c r="G7" s="165">
        <f t="shared" si="0"/>
        <v>3720</v>
      </c>
      <c r="H7" s="181">
        <f t="shared" si="1"/>
        <v>310</v>
      </c>
    </row>
    <row r="8" spans="1:8" ht="15" customHeight="1" x14ac:dyDescent="0.25">
      <c r="A8" s="62">
        <v>5</v>
      </c>
      <c r="B8" s="42" t="s">
        <v>243</v>
      </c>
      <c r="C8" s="42" t="s">
        <v>242</v>
      </c>
      <c r="D8" s="42">
        <f>(12*1)</f>
        <v>12</v>
      </c>
      <c r="E8" s="42" t="s">
        <v>273</v>
      </c>
      <c r="F8" s="165">
        <v>29.8</v>
      </c>
      <c r="G8" s="165">
        <f t="shared" si="0"/>
        <v>357.6</v>
      </c>
      <c r="H8" s="181">
        <f t="shared" si="1"/>
        <v>29.8</v>
      </c>
    </row>
    <row r="9" spans="1:8" ht="15" customHeight="1" x14ac:dyDescent="0.25">
      <c r="A9" s="62">
        <v>6</v>
      </c>
      <c r="B9" s="42" t="s">
        <v>244</v>
      </c>
      <c r="C9" s="42" t="s">
        <v>242</v>
      </c>
      <c r="D9" s="42">
        <f>(12*1)</f>
        <v>12</v>
      </c>
      <c r="E9" s="41" t="s">
        <v>237</v>
      </c>
      <c r="F9" s="165">
        <v>2.0099999999999998</v>
      </c>
      <c r="G9" s="165">
        <f t="shared" si="0"/>
        <v>24.119999999999997</v>
      </c>
      <c r="H9" s="181">
        <f t="shared" si="1"/>
        <v>2.0099999999999998</v>
      </c>
    </row>
    <row r="10" spans="1:8" ht="15" customHeight="1" x14ac:dyDescent="0.25">
      <c r="A10" s="62">
        <v>7</v>
      </c>
      <c r="B10" s="42" t="s">
        <v>245</v>
      </c>
      <c r="C10" s="42" t="s">
        <v>242</v>
      </c>
      <c r="D10" s="42">
        <f>(12*1)</f>
        <v>12</v>
      </c>
      <c r="E10" s="42" t="s">
        <v>273</v>
      </c>
      <c r="F10" s="165">
        <v>9</v>
      </c>
      <c r="G10" s="165">
        <f t="shared" si="0"/>
        <v>108</v>
      </c>
      <c r="H10" s="181">
        <f t="shared" si="1"/>
        <v>9</v>
      </c>
    </row>
    <row r="11" spans="1:8" ht="15" customHeight="1" x14ac:dyDescent="0.25">
      <c r="A11" s="62">
        <v>8</v>
      </c>
      <c r="B11" s="42" t="s">
        <v>246</v>
      </c>
      <c r="C11" s="42" t="s">
        <v>242</v>
      </c>
      <c r="D11" s="42">
        <f>(12*1)</f>
        <v>12</v>
      </c>
      <c r="E11" s="42" t="s">
        <v>273</v>
      </c>
      <c r="F11" s="165">
        <v>35</v>
      </c>
      <c r="G11" s="165">
        <f t="shared" si="0"/>
        <v>420</v>
      </c>
      <c r="H11" s="181">
        <f t="shared" si="1"/>
        <v>35</v>
      </c>
    </row>
    <row r="12" spans="1:8" ht="15" customHeight="1" x14ac:dyDescent="0.25">
      <c r="A12" s="62">
        <v>9</v>
      </c>
      <c r="B12" s="42" t="s">
        <v>247</v>
      </c>
      <c r="C12" s="42" t="s">
        <v>236</v>
      </c>
      <c r="D12" s="42">
        <f>(12*3)*2</f>
        <v>72</v>
      </c>
      <c r="E12" s="42" t="s">
        <v>248</v>
      </c>
      <c r="F12" s="165">
        <v>9.8000000000000007</v>
      </c>
      <c r="G12" s="165">
        <f t="shared" si="0"/>
        <v>705.6</v>
      </c>
      <c r="H12" s="181">
        <f t="shared" si="1"/>
        <v>58.800000000000004</v>
      </c>
    </row>
    <row r="13" spans="1:8" ht="15" customHeight="1" x14ac:dyDescent="0.25">
      <c r="A13" s="62">
        <v>10</v>
      </c>
      <c r="B13" s="42" t="s">
        <v>249</v>
      </c>
      <c r="C13" s="42" t="s">
        <v>242</v>
      </c>
      <c r="D13" s="42">
        <f>(12*1)*2</f>
        <v>24</v>
      </c>
      <c r="E13" s="42" t="s">
        <v>248</v>
      </c>
      <c r="F13" s="165">
        <v>24.5</v>
      </c>
      <c r="G13" s="165">
        <f t="shared" si="0"/>
        <v>588</v>
      </c>
      <c r="H13" s="181">
        <f t="shared" si="1"/>
        <v>49</v>
      </c>
    </row>
    <row r="14" spans="1:8" ht="15" customHeight="1" x14ac:dyDescent="0.25">
      <c r="A14" s="62">
        <v>11</v>
      </c>
      <c r="B14" s="42" t="s">
        <v>250</v>
      </c>
      <c r="C14" s="42" t="s">
        <v>242</v>
      </c>
      <c r="D14" s="42">
        <f>(12*1)*2</f>
        <v>24</v>
      </c>
      <c r="E14" s="42" t="s">
        <v>248</v>
      </c>
      <c r="F14" s="165">
        <v>50</v>
      </c>
      <c r="G14" s="165">
        <f t="shared" si="0"/>
        <v>1200</v>
      </c>
      <c r="H14" s="181">
        <f t="shared" si="1"/>
        <v>100</v>
      </c>
    </row>
    <row r="15" spans="1:8" ht="15" customHeight="1" x14ac:dyDescent="0.25">
      <c r="A15" s="235"/>
      <c r="B15" s="235"/>
      <c r="C15" s="235"/>
      <c r="D15" s="235"/>
      <c r="E15" s="235"/>
      <c r="F15" s="235"/>
      <c r="G15" s="166">
        <f>SUM(G4:G14)</f>
        <v>10182.09</v>
      </c>
      <c r="H15" s="166">
        <f>SUM(H4:H14)</f>
        <v>848.50749999999994</v>
      </c>
    </row>
    <row r="16" spans="1:8" ht="15" customHeight="1" thickBot="1" x14ac:dyDescent="0.3">
      <c r="A16" s="236" t="s">
        <v>251</v>
      </c>
      <c r="B16" s="236"/>
      <c r="C16" s="236"/>
      <c r="D16" s="236"/>
      <c r="E16" s="236"/>
      <c r="F16" s="236"/>
      <c r="G16" s="236"/>
      <c r="H16" s="167">
        <f>H15/12</f>
        <v>70.708958333333328</v>
      </c>
    </row>
    <row r="17" spans="1:8" ht="15" customHeight="1" thickBot="1" x14ac:dyDescent="0.3">
      <c r="A17" s="237" t="s">
        <v>274</v>
      </c>
      <c r="B17" s="238"/>
      <c r="C17" s="238"/>
      <c r="D17" s="238"/>
      <c r="E17" s="238"/>
      <c r="F17" s="238"/>
      <c r="G17" s="238"/>
      <c r="H17" s="239"/>
    </row>
    <row r="26" spans="1:8" ht="132.75" customHeight="1" x14ac:dyDescent="0.25"/>
  </sheetData>
  <mergeCells count="5">
    <mergeCell ref="A1:H1"/>
    <mergeCell ref="A2:H2"/>
    <mergeCell ref="A15:F15"/>
    <mergeCell ref="A16:G16"/>
    <mergeCell ref="A17:H17"/>
  </mergeCells>
  <printOptions horizontalCentered="1"/>
  <pageMargins left="0.31527777777777799" right="0.31527777777777799" top="0.35416666666666702" bottom="1.02847222222222" header="0.511811023622047" footer="0.511811023622047"/>
  <pageSetup paperSize="9" scale="5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view="pageBreakPreview" topLeftCell="A10" zoomScaleNormal="100" workbookViewId="0">
      <selection activeCell="H9" sqref="H9"/>
    </sheetView>
  </sheetViews>
  <sheetFormatPr defaultColWidth="9.140625" defaultRowHeight="12.75" x14ac:dyDescent="0.25"/>
  <cols>
    <col min="1" max="1" width="8.7109375" style="168" customWidth="1"/>
    <col min="2" max="2" width="40.7109375" style="168" customWidth="1"/>
    <col min="3" max="4" width="20.7109375" style="168" customWidth="1"/>
    <col min="5" max="5" width="30.7109375" style="168" customWidth="1"/>
    <col min="6" max="8" width="15.7109375" style="168" customWidth="1"/>
    <col min="9" max="16384" width="9.140625" style="168"/>
  </cols>
  <sheetData>
    <row r="1" spans="1:17" ht="15" customHeight="1" x14ac:dyDescent="0.25">
      <c r="A1" s="244" t="s">
        <v>252</v>
      </c>
      <c r="B1" s="244"/>
      <c r="C1" s="244"/>
      <c r="D1" s="244"/>
      <c r="E1" s="244"/>
      <c r="F1" s="244"/>
      <c r="G1" s="244"/>
      <c r="H1" s="244"/>
    </row>
    <row r="2" spans="1:17" ht="15" customHeight="1" x14ac:dyDescent="0.25">
      <c r="A2" s="245"/>
      <c r="B2" s="245"/>
      <c r="C2" s="245"/>
      <c r="D2" s="245"/>
      <c r="E2" s="245"/>
      <c r="F2" s="245"/>
      <c r="G2" s="245"/>
      <c r="H2" s="245"/>
    </row>
    <row r="3" spans="1:17" ht="15" customHeight="1" x14ac:dyDescent="0.25">
      <c r="A3" s="246" t="s">
        <v>253</v>
      </c>
      <c r="B3" s="246"/>
      <c r="C3" s="246"/>
      <c r="D3" s="246"/>
      <c r="E3" s="246"/>
      <c r="F3" s="246"/>
      <c r="G3" s="246"/>
      <c r="H3" s="246"/>
    </row>
    <row r="4" spans="1:17" ht="30" customHeight="1" x14ac:dyDescent="0.25">
      <c r="A4" s="169" t="s">
        <v>227</v>
      </c>
      <c r="B4" s="170" t="s">
        <v>228</v>
      </c>
      <c r="C4" s="170" t="s">
        <v>229</v>
      </c>
      <c r="D4" s="170" t="s">
        <v>230</v>
      </c>
      <c r="E4" s="170" t="s">
        <v>231</v>
      </c>
      <c r="F4" s="171" t="s">
        <v>232</v>
      </c>
      <c r="G4" s="171" t="s">
        <v>233</v>
      </c>
      <c r="H4" s="172" t="s">
        <v>234</v>
      </c>
    </row>
    <row r="5" spans="1:17" ht="15" customHeight="1" x14ac:dyDescent="0.25">
      <c r="A5" s="41">
        <v>1</v>
      </c>
      <c r="B5" s="173" t="s">
        <v>254</v>
      </c>
      <c r="C5" s="173" t="s">
        <v>240</v>
      </c>
      <c r="D5" s="173">
        <f>(2*1)*1</f>
        <v>2</v>
      </c>
      <c r="E5" s="182" t="s">
        <v>273</v>
      </c>
      <c r="F5" s="174">
        <v>98</v>
      </c>
      <c r="G5" s="156">
        <f>F5*D5</f>
        <v>196</v>
      </c>
      <c r="H5" s="175">
        <f t="shared" ref="H5:H18" si="0">G5/12</f>
        <v>16.333333333333332</v>
      </c>
    </row>
    <row r="6" spans="1:17" ht="15" customHeight="1" x14ac:dyDescent="0.25">
      <c r="A6" s="41">
        <v>2</v>
      </c>
      <c r="B6" s="173" t="s">
        <v>255</v>
      </c>
      <c r="C6" s="173" t="s">
        <v>240</v>
      </c>
      <c r="D6" s="173">
        <f>(2*1)*1</f>
        <v>2</v>
      </c>
      <c r="E6" s="182" t="s">
        <v>273</v>
      </c>
      <c r="F6" s="174">
        <v>109</v>
      </c>
      <c r="G6" s="156">
        <f>F6*D6</f>
        <v>218</v>
      </c>
      <c r="H6" s="175">
        <f t="shared" si="0"/>
        <v>18.166666666666668</v>
      </c>
    </row>
    <row r="7" spans="1:17" ht="15" customHeight="1" x14ac:dyDescent="0.25">
      <c r="A7" s="41">
        <v>3</v>
      </c>
      <c r="B7" s="173" t="s">
        <v>256</v>
      </c>
      <c r="C7" s="173" t="s">
        <v>240</v>
      </c>
      <c r="D7" s="173">
        <f>(2*1)*1</f>
        <v>2</v>
      </c>
      <c r="E7" s="182" t="s">
        <v>273</v>
      </c>
      <c r="F7" s="174">
        <v>38.409999999999997</v>
      </c>
      <c r="G7" s="156">
        <f>F7*D7</f>
        <v>76.819999999999993</v>
      </c>
      <c r="H7" s="175">
        <f t="shared" si="0"/>
        <v>6.4016666666666664</v>
      </c>
    </row>
    <row r="8" spans="1:17" ht="45" customHeight="1" x14ac:dyDescent="0.25">
      <c r="A8" s="41">
        <v>4</v>
      </c>
      <c r="B8" s="173" t="s">
        <v>257</v>
      </c>
      <c r="C8" s="176" t="s">
        <v>258</v>
      </c>
      <c r="D8" s="176" t="s">
        <v>258</v>
      </c>
      <c r="E8" s="183" t="s">
        <v>275</v>
      </c>
      <c r="F8" s="174">
        <v>7.53</v>
      </c>
      <c r="G8" s="156">
        <f>F8*8</f>
        <v>60.24</v>
      </c>
      <c r="H8" s="175">
        <f t="shared" si="0"/>
        <v>5.0200000000000005</v>
      </c>
    </row>
    <row r="9" spans="1:17" ht="15" customHeight="1" x14ac:dyDescent="0.25">
      <c r="A9" s="41">
        <v>5</v>
      </c>
      <c r="B9" s="173" t="s">
        <v>259</v>
      </c>
      <c r="C9" s="173" t="s">
        <v>240</v>
      </c>
      <c r="D9" s="173">
        <f>(2*1)*1</f>
        <v>2</v>
      </c>
      <c r="E9" s="182" t="s">
        <v>273</v>
      </c>
      <c r="F9" s="174">
        <v>5492</v>
      </c>
      <c r="G9" s="156">
        <f t="shared" ref="G9:G18" si="1">F9*D9</f>
        <v>10984</v>
      </c>
      <c r="H9" s="175">
        <f t="shared" si="0"/>
        <v>915.33333333333337</v>
      </c>
    </row>
    <row r="10" spans="1:17" ht="15" customHeight="1" x14ac:dyDescent="0.25">
      <c r="A10" s="41">
        <v>6</v>
      </c>
      <c r="B10" s="173" t="s">
        <v>260</v>
      </c>
      <c r="C10" s="173" t="s">
        <v>242</v>
      </c>
      <c r="D10" s="173">
        <f>(8*1)*1</f>
        <v>8</v>
      </c>
      <c r="E10" s="182" t="s">
        <v>273</v>
      </c>
      <c r="F10" s="174">
        <v>13</v>
      </c>
      <c r="G10" s="156">
        <f t="shared" si="1"/>
        <v>104</v>
      </c>
      <c r="H10" s="175">
        <f t="shared" si="0"/>
        <v>8.6666666666666661</v>
      </c>
    </row>
    <row r="11" spans="1:17" ht="45" customHeight="1" x14ac:dyDescent="0.25">
      <c r="A11" s="41">
        <v>7</v>
      </c>
      <c r="B11" s="176" t="s">
        <v>261</v>
      </c>
      <c r="C11" s="173" t="s">
        <v>240</v>
      </c>
      <c r="D11" s="173">
        <f>(2*1)*1</f>
        <v>2</v>
      </c>
      <c r="E11" s="183" t="s">
        <v>276</v>
      </c>
      <c r="F11" s="174">
        <v>115.23</v>
      </c>
      <c r="G11" s="156">
        <f t="shared" si="1"/>
        <v>230.46</v>
      </c>
      <c r="H11" s="175">
        <f t="shared" si="0"/>
        <v>19.205000000000002</v>
      </c>
    </row>
    <row r="12" spans="1:17" ht="15" customHeight="1" x14ac:dyDescent="0.25">
      <c r="A12" s="41">
        <v>8</v>
      </c>
      <c r="B12" s="173" t="s">
        <v>263</v>
      </c>
      <c r="C12" s="173" t="s">
        <v>240</v>
      </c>
      <c r="D12" s="173">
        <f>(2*1)*1</f>
        <v>2</v>
      </c>
      <c r="E12" s="182" t="s">
        <v>273</v>
      </c>
      <c r="F12" s="174">
        <v>69</v>
      </c>
      <c r="G12" s="156">
        <f t="shared" si="1"/>
        <v>138</v>
      </c>
      <c r="H12" s="175">
        <f t="shared" si="0"/>
        <v>11.5</v>
      </c>
    </row>
    <row r="13" spans="1:17" ht="15" customHeight="1" x14ac:dyDescent="0.25">
      <c r="A13" s="41">
        <v>9</v>
      </c>
      <c r="B13" s="176" t="s">
        <v>264</v>
      </c>
      <c r="C13" s="173" t="s">
        <v>242</v>
      </c>
      <c r="D13" s="173">
        <f>(8*1)*1</f>
        <v>8</v>
      </c>
      <c r="E13" s="182" t="s">
        <v>273</v>
      </c>
      <c r="F13" s="174">
        <v>1638</v>
      </c>
      <c r="G13" s="156">
        <f t="shared" si="1"/>
        <v>13104</v>
      </c>
      <c r="H13" s="175">
        <f t="shared" si="0"/>
        <v>1092</v>
      </c>
    </row>
    <row r="14" spans="1:17" ht="15" customHeight="1" x14ac:dyDescent="0.25">
      <c r="A14" s="41">
        <v>10</v>
      </c>
      <c r="B14" s="173" t="s">
        <v>265</v>
      </c>
      <c r="C14" s="173" t="s">
        <v>242</v>
      </c>
      <c r="D14" s="173">
        <f>(8*1)*1</f>
        <v>8</v>
      </c>
      <c r="E14" s="182" t="s">
        <v>273</v>
      </c>
      <c r="F14" s="174">
        <v>6.42</v>
      </c>
      <c r="G14" s="156">
        <f t="shared" si="1"/>
        <v>51.36</v>
      </c>
      <c r="H14" s="175">
        <f t="shared" si="0"/>
        <v>4.28</v>
      </c>
      <c r="K14" s="1"/>
      <c r="L14" s="1"/>
      <c r="M14" s="1"/>
      <c r="N14" s="1"/>
      <c r="O14" s="1"/>
      <c r="P14" s="1"/>
      <c r="Q14" s="1"/>
    </row>
    <row r="15" spans="1:17" ht="15" customHeight="1" x14ac:dyDescent="0.25">
      <c r="A15" s="41">
        <v>11</v>
      </c>
      <c r="B15" s="176" t="s">
        <v>266</v>
      </c>
      <c r="C15" s="173" t="s">
        <v>240</v>
      </c>
      <c r="D15" s="173">
        <f>(2*1)*1</f>
        <v>2</v>
      </c>
      <c r="E15" s="182" t="s">
        <v>273</v>
      </c>
      <c r="F15" s="174">
        <v>40.39</v>
      </c>
      <c r="G15" s="156">
        <f t="shared" si="1"/>
        <v>80.78</v>
      </c>
      <c r="H15" s="175">
        <f t="shared" si="0"/>
        <v>6.7316666666666665</v>
      </c>
      <c r="K15" s="1"/>
      <c r="L15" s="1"/>
      <c r="M15" s="1"/>
      <c r="N15" s="1"/>
      <c r="O15" s="1"/>
      <c r="P15" s="1"/>
      <c r="Q15" s="1"/>
    </row>
    <row r="16" spans="1:17" ht="15" customHeight="1" x14ac:dyDescent="0.25">
      <c r="A16" s="41">
        <v>12</v>
      </c>
      <c r="B16" s="173" t="s">
        <v>267</v>
      </c>
      <c r="C16" s="173" t="s">
        <v>268</v>
      </c>
      <c r="D16" s="173">
        <f>1*3</f>
        <v>3</v>
      </c>
      <c r="E16" s="184" t="s">
        <v>269</v>
      </c>
      <c r="F16" s="174">
        <v>10.19</v>
      </c>
      <c r="G16" s="156">
        <f t="shared" si="1"/>
        <v>30.57</v>
      </c>
      <c r="H16" s="175">
        <f t="shared" si="0"/>
        <v>2.5474999999999999</v>
      </c>
      <c r="K16" s="1"/>
      <c r="L16" s="1"/>
      <c r="M16" s="1"/>
      <c r="N16" s="1"/>
      <c r="O16" s="1"/>
      <c r="P16" s="1"/>
      <c r="Q16" s="1"/>
    </row>
    <row r="17" spans="1:17" ht="15" customHeight="1" x14ac:dyDescent="0.25">
      <c r="A17" s="41">
        <v>13</v>
      </c>
      <c r="B17" s="173" t="s">
        <v>270</v>
      </c>
      <c r="C17" s="173" t="s">
        <v>242</v>
      </c>
      <c r="D17" s="173">
        <f>(8*1)*1</f>
        <v>8</v>
      </c>
      <c r="E17" s="182" t="s">
        <v>273</v>
      </c>
      <c r="F17" s="174">
        <v>21.2</v>
      </c>
      <c r="G17" s="156">
        <f t="shared" si="1"/>
        <v>169.6</v>
      </c>
      <c r="H17" s="175">
        <f t="shared" si="0"/>
        <v>14.133333333333333</v>
      </c>
      <c r="K17" s="1"/>
      <c r="L17" s="1"/>
      <c r="M17" s="1"/>
      <c r="N17" s="1"/>
      <c r="O17" s="1"/>
      <c r="P17" s="1"/>
      <c r="Q17" s="1"/>
    </row>
    <row r="18" spans="1:17" ht="15" customHeight="1" x14ac:dyDescent="0.25">
      <c r="A18" s="41">
        <v>14</v>
      </c>
      <c r="B18" s="176" t="s">
        <v>271</v>
      </c>
      <c r="C18" s="173" t="s">
        <v>240</v>
      </c>
      <c r="D18" s="173">
        <f>(2*1)*1</f>
        <v>2</v>
      </c>
      <c r="E18" s="185" t="s">
        <v>273</v>
      </c>
      <c r="F18" s="174">
        <v>539</v>
      </c>
      <c r="G18" s="156">
        <f t="shared" si="1"/>
        <v>1078</v>
      </c>
      <c r="H18" s="175">
        <f t="shared" si="0"/>
        <v>89.833333333333329</v>
      </c>
      <c r="K18" s="1"/>
      <c r="L18" s="1"/>
      <c r="M18" s="1"/>
      <c r="N18" s="1"/>
      <c r="O18" s="1"/>
      <c r="P18" s="1"/>
      <c r="Q18" s="1"/>
    </row>
    <row r="19" spans="1:17" ht="15" customHeight="1" x14ac:dyDescent="0.25">
      <c r="A19" s="242"/>
      <c r="B19" s="242"/>
      <c r="C19" s="242"/>
      <c r="D19" s="242"/>
      <c r="E19" s="242"/>
      <c r="F19" s="242"/>
      <c r="G19" s="177">
        <f>SUM(G5:G18)</f>
        <v>26521.829999999994</v>
      </c>
      <c r="H19" s="177">
        <f>SUM(H5:H18)</f>
        <v>2210.1525000000001</v>
      </c>
    </row>
    <row r="20" spans="1:17" ht="15" customHeight="1" x14ac:dyDescent="0.25">
      <c r="A20" s="243" t="s">
        <v>251</v>
      </c>
      <c r="B20" s="243"/>
      <c r="C20" s="243"/>
      <c r="D20" s="243"/>
      <c r="E20" s="243"/>
      <c r="F20" s="243"/>
      <c r="G20" s="243"/>
      <c r="H20" s="178">
        <f>H19/8</f>
        <v>276.26906250000002</v>
      </c>
    </row>
    <row r="21" spans="1:17" ht="15" customHeight="1" x14ac:dyDescent="0.25">
      <c r="A21" s="240"/>
      <c r="B21" s="240"/>
      <c r="C21" s="240"/>
      <c r="D21" s="240"/>
      <c r="E21" s="240"/>
      <c r="F21" s="240"/>
      <c r="G21" s="240"/>
      <c r="H21" s="240"/>
    </row>
    <row r="22" spans="1:17" ht="15" customHeight="1" x14ac:dyDescent="0.25">
      <c r="A22" s="241" t="s">
        <v>272</v>
      </c>
      <c r="B22" s="241"/>
      <c r="C22" s="241"/>
      <c r="D22" s="241"/>
      <c r="E22" s="241"/>
      <c r="F22" s="241"/>
      <c r="G22" s="241"/>
      <c r="H22" s="241"/>
    </row>
    <row r="23" spans="1:17" ht="15" customHeight="1" x14ac:dyDescent="0.25">
      <c r="A23" s="169" t="s">
        <v>227</v>
      </c>
      <c r="B23" s="170" t="s">
        <v>228</v>
      </c>
      <c r="C23" s="170" t="s">
        <v>229</v>
      </c>
      <c r="D23" s="170" t="s">
        <v>230</v>
      </c>
      <c r="E23" s="170" t="s">
        <v>231</v>
      </c>
      <c r="F23" s="171" t="s">
        <v>232</v>
      </c>
      <c r="G23" s="171" t="s">
        <v>233</v>
      </c>
      <c r="H23" s="172" t="s">
        <v>234</v>
      </c>
    </row>
    <row r="24" spans="1:17" ht="15" customHeight="1" x14ac:dyDescent="0.25">
      <c r="A24" s="41">
        <v>1</v>
      </c>
      <c r="B24" s="41" t="s">
        <v>260</v>
      </c>
      <c r="C24" s="41" t="s">
        <v>242</v>
      </c>
      <c r="D24" s="41">
        <f>(1*4)*1</f>
        <v>4</v>
      </c>
      <c r="E24" s="182" t="s">
        <v>273</v>
      </c>
      <c r="F24" s="174">
        <v>13</v>
      </c>
      <c r="G24" s="156">
        <f t="shared" ref="G24:G32" si="2">F24*D24</f>
        <v>52</v>
      </c>
      <c r="H24" s="175">
        <f t="shared" ref="H24:H32" si="3">G24/12</f>
        <v>4.333333333333333</v>
      </c>
      <c r="J24" s="1"/>
      <c r="K24" s="1"/>
      <c r="L24" s="1"/>
      <c r="M24" s="1"/>
      <c r="N24" s="1"/>
      <c r="O24" s="1"/>
      <c r="P24" s="1"/>
    </row>
    <row r="25" spans="1:17" ht="45" customHeight="1" x14ac:dyDescent="0.25">
      <c r="A25" s="41">
        <v>2</v>
      </c>
      <c r="B25" s="42" t="s">
        <v>261</v>
      </c>
      <c r="C25" s="41" t="s">
        <v>240</v>
      </c>
      <c r="D25" s="41">
        <f>(1*1)*1</f>
        <v>1</v>
      </c>
      <c r="E25" s="183" t="s">
        <v>262</v>
      </c>
      <c r="F25" s="174">
        <v>115.23</v>
      </c>
      <c r="G25" s="156">
        <f t="shared" si="2"/>
        <v>115.23</v>
      </c>
      <c r="H25" s="175">
        <f t="shared" si="3"/>
        <v>9.6025000000000009</v>
      </c>
      <c r="J25" s="1"/>
      <c r="K25" s="1"/>
      <c r="L25" s="1"/>
      <c r="M25" s="1"/>
      <c r="N25" s="1"/>
      <c r="O25" s="1"/>
      <c r="P25" s="1"/>
    </row>
    <row r="26" spans="1:17" ht="15" customHeight="1" x14ac:dyDescent="0.25">
      <c r="A26" s="41">
        <v>3</v>
      </c>
      <c r="B26" s="41" t="s">
        <v>263</v>
      </c>
      <c r="C26" s="41" t="s">
        <v>240</v>
      </c>
      <c r="D26" s="41">
        <f>(1*1)*1</f>
        <v>1</v>
      </c>
      <c r="E26" s="182" t="s">
        <v>273</v>
      </c>
      <c r="F26" s="174">
        <v>69</v>
      </c>
      <c r="G26" s="156">
        <f t="shared" si="2"/>
        <v>69</v>
      </c>
      <c r="H26" s="175">
        <f t="shared" si="3"/>
        <v>5.75</v>
      </c>
      <c r="J26" s="1"/>
      <c r="K26" s="1"/>
      <c r="L26" s="1"/>
      <c r="M26" s="1"/>
      <c r="N26" s="1"/>
      <c r="O26" s="1"/>
      <c r="P26" s="1"/>
    </row>
    <row r="27" spans="1:17" ht="15" customHeight="1" x14ac:dyDescent="0.25">
      <c r="A27" s="41">
        <v>4</v>
      </c>
      <c r="B27" s="42" t="s">
        <v>264</v>
      </c>
      <c r="C27" s="41" t="s">
        <v>242</v>
      </c>
      <c r="D27" s="41">
        <f>(1*4)*1</f>
        <v>4</v>
      </c>
      <c r="E27" s="182" t="s">
        <v>273</v>
      </c>
      <c r="F27" s="174">
        <v>1638</v>
      </c>
      <c r="G27" s="156">
        <f t="shared" si="2"/>
        <v>6552</v>
      </c>
      <c r="H27" s="175">
        <f t="shared" si="3"/>
        <v>546</v>
      </c>
      <c r="J27" s="1"/>
      <c r="K27" s="1"/>
      <c r="L27" s="1"/>
      <c r="M27" s="1"/>
      <c r="N27" s="1"/>
      <c r="O27" s="1"/>
      <c r="P27" s="1"/>
    </row>
    <row r="28" spans="1:17" ht="15" customHeight="1" x14ac:dyDescent="0.25">
      <c r="A28" s="41">
        <v>5</v>
      </c>
      <c r="B28" s="41" t="s">
        <v>265</v>
      </c>
      <c r="C28" s="41" t="s">
        <v>242</v>
      </c>
      <c r="D28" s="41">
        <f>(1*4)*1</f>
        <v>4</v>
      </c>
      <c r="E28" s="182" t="s">
        <v>273</v>
      </c>
      <c r="F28" s="174">
        <v>6.42</v>
      </c>
      <c r="G28" s="156">
        <f t="shared" si="2"/>
        <v>25.68</v>
      </c>
      <c r="H28" s="175">
        <f t="shared" si="3"/>
        <v>2.14</v>
      </c>
      <c r="J28" s="1"/>
      <c r="K28" s="1"/>
      <c r="L28" s="1"/>
      <c r="M28" s="1"/>
      <c r="N28" s="1"/>
      <c r="O28" s="1"/>
      <c r="P28" s="1"/>
    </row>
    <row r="29" spans="1:17" ht="15" customHeight="1" x14ac:dyDescent="0.25">
      <c r="A29" s="41">
        <v>6</v>
      </c>
      <c r="B29" s="42" t="s">
        <v>266</v>
      </c>
      <c r="C29" s="41" t="s">
        <v>240</v>
      </c>
      <c r="D29" s="41">
        <f>(1*1)*1</f>
        <v>1</v>
      </c>
      <c r="E29" s="182" t="s">
        <v>273</v>
      </c>
      <c r="F29" s="174">
        <v>40.39</v>
      </c>
      <c r="G29" s="156">
        <f t="shared" si="2"/>
        <v>40.39</v>
      </c>
      <c r="H29" s="175">
        <f t="shared" si="3"/>
        <v>3.3658333333333332</v>
      </c>
      <c r="J29" s="1"/>
      <c r="K29" s="1"/>
      <c r="L29" s="1"/>
      <c r="M29" s="1"/>
      <c r="N29" s="1"/>
      <c r="O29" s="1"/>
      <c r="P29" s="1"/>
    </row>
    <row r="30" spans="1:17" ht="15" customHeight="1" x14ac:dyDescent="0.25">
      <c r="A30" s="41">
        <v>7</v>
      </c>
      <c r="B30" s="41" t="s">
        <v>267</v>
      </c>
      <c r="C30" s="41" t="s">
        <v>268</v>
      </c>
      <c r="D30" s="41">
        <f>1*3</f>
        <v>3</v>
      </c>
      <c r="E30" s="186" t="s">
        <v>269</v>
      </c>
      <c r="F30" s="174">
        <v>10.19</v>
      </c>
      <c r="G30" s="156">
        <f t="shared" si="2"/>
        <v>30.57</v>
      </c>
      <c r="H30" s="175">
        <f t="shared" si="3"/>
        <v>2.5474999999999999</v>
      </c>
      <c r="J30" s="1"/>
      <c r="K30" s="1"/>
      <c r="L30" s="1"/>
      <c r="M30" s="1"/>
      <c r="N30" s="1"/>
      <c r="O30" s="1"/>
      <c r="P30" s="1"/>
    </row>
    <row r="31" spans="1:17" ht="15" customHeight="1" x14ac:dyDescent="0.25">
      <c r="A31" s="41">
        <v>8</v>
      </c>
      <c r="B31" s="41" t="s">
        <v>270</v>
      </c>
      <c r="C31" s="41" t="s">
        <v>242</v>
      </c>
      <c r="D31" s="41">
        <f>(1*4)*1</f>
        <v>4</v>
      </c>
      <c r="E31" s="182" t="s">
        <v>273</v>
      </c>
      <c r="F31" s="174">
        <v>21.2</v>
      </c>
      <c r="G31" s="156">
        <f t="shared" si="2"/>
        <v>84.8</v>
      </c>
      <c r="H31" s="175">
        <f t="shared" si="3"/>
        <v>7.0666666666666664</v>
      </c>
      <c r="J31" s="1"/>
      <c r="K31" s="1"/>
      <c r="L31" s="1"/>
      <c r="M31" s="1"/>
      <c r="N31" s="1"/>
      <c r="O31" s="1"/>
      <c r="P31" s="1"/>
    </row>
    <row r="32" spans="1:17" ht="15" customHeight="1" x14ac:dyDescent="0.25">
      <c r="A32" s="41">
        <v>9</v>
      </c>
      <c r="B32" s="42" t="s">
        <v>271</v>
      </c>
      <c r="C32" s="41" t="s">
        <v>240</v>
      </c>
      <c r="D32" s="41">
        <f>(1*1)*1</f>
        <v>1</v>
      </c>
      <c r="E32" s="185" t="s">
        <v>273</v>
      </c>
      <c r="F32" s="174">
        <v>539</v>
      </c>
      <c r="G32" s="156">
        <f t="shared" si="2"/>
        <v>539</v>
      </c>
      <c r="H32" s="175">
        <f t="shared" si="3"/>
        <v>44.916666666666664</v>
      </c>
      <c r="J32" s="1"/>
      <c r="K32" s="1"/>
      <c r="L32" s="1"/>
      <c r="M32" s="1"/>
      <c r="N32" s="1"/>
      <c r="O32" s="1"/>
      <c r="P32" s="1"/>
    </row>
    <row r="33" spans="1:8" ht="15" customHeight="1" x14ac:dyDescent="0.25">
      <c r="A33" s="242"/>
      <c r="B33" s="242"/>
      <c r="C33" s="242"/>
      <c r="D33" s="242"/>
      <c r="E33" s="242"/>
      <c r="F33" s="242"/>
      <c r="G33" s="177">
        <f>SUM(G24:G32)</f>
        <v>7508.67</v>
      </c>
      <c r="H33" s="177">
        <f>SUM(H24:H32)</f>
        <v>625.72249999999997</v>
      </c>
    </row>
    <row r="34" spans="1:8" ht="15" customHeight="1" thickBot="1" x14ac:dyDescent="0.3">
      <c r="A34" s="243" t="s">
        <v>251</v>
      </c>
      <c r="B34" s="243"/>
      <c r="C34" s="243"/>
      <c r="D34" s="243"/>
      <c r="E34" s="243"/>
      <c r="F34" s="243"/>
      <c r="G34" s="243"/>
      <c r="H34" s="178">
        <f>H33/4</f>
        <v>156.43062499999999</v>
      </c>
    </row>
    <row r="35" spans="1:8" ht="15" customHeight="1" thickBot="1" x14ac:dyDescent="0.3">
      <c r="A35" s="237" t="s">
        <v>274</v>
      </c>
      <c r="B35" s="238"/>
      <c r="C35" s="238"/>
      <c r="D35" s="238"/>
      <c r="E35" s="238"/>
      <c r="F35" s="238"/>
      <c r="G35" s="238"/>
      <c r="H35" s="239"/>
    </row>
    <row r="38" spans="1:8" ht="15" x14ac:dyDescent="0.25">
      <c r="B38" s="1"/>
      <c r="C38" s="1"/>
      <c r="D38" s="1"/>
      <c r="E38" s="1"/>
      <c r="F38" s="1"/>
      <c r="G38" s="1"/>
      <c r="H38" s="1"/>
    </row>
    <row r="39" spans="1:8" ht="15" x14ac:dyDescent="0.25">
      <c r="B39" s="1"/>
      <c r="C39" s="1"/>
      <c r="D39" s="1"/>
      <c r="E39" s="1"/>
      <c r="F39" s="1"/>
      <c r="G39" s="1"/>
      <c r="H39" s="1"/>
    </row>
    <row r="40" spans="1:8" ht="15" x14ac:dyDescent="0.25">
      <c r="B40" s="1"/>
      <c r="C40" s="1"/>
      <c r="D40" s="1"/>
      <c r="E40" s="1"/>
      <c r="F40" s="1"/>
      <c r="G40" s="1"/>
      <c r="H40" s="1"/>
    </row>
    <row r="41" spans="1:8" ht="15" x14ac:dyDescent="0.25">
      <c r="B41" s="1"/>
      <c r="C41" s="1"/>
      <c r="D41" s="1"/>
      <c r="E41" s="1"/>
      <c r="F41" s="1"/>
      <c r="G41" s="1"/>
      <c r="H41" s="1"/>
    </row>
    <row r="42" spans="1:8" ht="15" x14ac:dyDescent="0.25">
      <c r="B42" s="1"/>
      <c r="C42" s="1"/>
      <c r="D42" s="1"/>
      <c r="E42" s="1"/>
      <c r="F42" s="1"/>
      <c r="G42" s="1"/>
      <c r="H42" s="1"/>
    </row>
    <row r="43" spans="1:8" ht="15" x14ac:dyDescent="0.25">
      <c r="B43" s="1"/>
      <c r="C43" s="1"/>
      <c r="D43" s="1"/>
      <c r="E43" s="1"/>
      <c r="F43" s="1"/>
      <c r="G43" s="1"/>
      <c r="H43" s="1"/>
    </row>
  </sheetData>
  <mergeCells count="10">
    <mergeCell ref="A1:H1"/>
    <mergeCell ref="A2:H2"/>
    <mergeCell ref="A3:H3"/>
    <mergeCell ref="A19:F19"/>
    <mergeCell ref="A20:G20"/>
    <mergeCell ref="A21:H21"/>
    <mergeCell ref="A22:H22"/>
    <mergeCell ref="A33:F33"/>
    <mergeCell ref="A34:G34"/>
    <mergeCell ref="A35:H35"/>
  </mergeCells>
  <printOptions horizontalCentered="1"/>
  <pageMargins left="0.31527777777777799" right="0.31527777777777799" top="0.35416666666666702" bottom="1.02847222222222" header="0.511811023622047" footer="0.511811023622047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11</vt:i4>
      </vt:variant>
    </vt:vector>
  </HeadingPairs>
  <TitlesOfParts>
    <vt:vector size="20" baseType="lpstr">
      <vt:lpstr>Plan2</vt:lpstr>
      <vt:lpstr>Plan3</vt:lpstr>
      <vt:lpstr>PLANILHA </vt:lpstr>
      <vt:lpstr>Vigilante Armado - Diurno</vt:lpstr>
      <vt:lpstr>Vigilante Armado - Noturno</vt:lpstr>
      <vt:lpstr>Vigilante Desarmado - Diurno</vt:lpstr>
      <vt:lpstr>Vigilante Desarmado - Noturno</vt:lpstr>
      <vt:lpstr>Uniformes </vt:lpstr>
      <vt:lpstr>Insumos</vt:lpstr>
      <vt:lpstr>Insumos!Area_de_impressao</vt:lpstr>
      <vt:lpstr>'PLANILHA '!Area_de_impressao</vt:lpstr>
      <vt:lpstr>'Uniformes '!Area_de_impressao</vt:lpstr>
      <vt:lpstr>'Vigilante Armado - Diurno'!Area_de_impressao</vt:lpstr>
      <vt:lpstr>'Vigilante Armado - Noturno'!Area_de_impressao</vt:lpstr>
      <vt:lpstr>'Vigilante Desarmado - Diurno'!Area_de_impressao</vt:lpstr>
      <vt:lpstr>'Vigilante Desarmado - Noturno'!Area_de_impressao</vt:lpstr>
      <vt:lpstr>'Vigilante Armado - Diurno'!Titulos_de_impressao</vt:lpstr>
      <vt:lpstr>'Vigilante Armado - Noturno'!Titulos_de_impressao</vt:lpstr>
      <vt:lpstr>'Vigilante Desarmado - Diurno'!Titulos_de_impressao</vt:lpstr>
      <vt:lpstr>'Vigilante Desarmado - Noturno'!Titulos_de_impressao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Alline Queiroz Da Silva</cp:lastModifiedBy>
  <cp:revision>29</cp:revision>
  <cp:lastPrinted>2025-10-10T13:35:31Z</cp:lastPrinted>
  <dcterms:created xsi:type="dcterms:W3CDTF">2014-04-11T01:53:38Z</dcterms:created>
  <dcterms:modified xsi:type="dcterms:W3CDTF">2025-10-10T13:38:05Z</dcterms:modified>
  <dc:language>pt-BR</dc:language>
</cp:coreProperties>
</file>